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30" yWindow="65341" windowWidth="21720" windowHeight="12660" tabRatio="579" activeTab="2"/>
  </bookViews>
  <sheets>
    <sheet name="a_Contents" sheetId="1" r:id="rId1"/>
    <sheet name="b_Guidelines &amp; conditions" sheetId="2" r:id="rId2"/>
    <sheet name="A_InstallationData" sheetId="3" r:id="rId3"/>
    <sheet name="B_InitialSituation" sheetId="4" r:id="rId4"/>
    <sheet name="C_MergerSplitTransfer" sheetId="5" r:id="rId5"/>
    <sheet name="D_Summary" sheetId="6" r:id="rId6"/>
    <sheet name="I_MSspecific" sheetId="7" r:id="rId7"/>
    <sheet name="J_Comments" sheetId="8" r:id="rId8"/>
    <sheet name="EUwideConstants" sheetId="9" state="hidden" r:id="rId9"/>
    <sheet name="MSParameters" sheetId="10" state="hidden" r:id="rId10"/>
    <sheet name="Translations" sheetId="11" state="hidden" r:id="rId11"/>
    <sheet name="VersionDocumentation" sheetId="12" state="hidden" r:id="rId12"/>
  </sheets>
  <definedNames>
    <definedName name="_xlnm._FilterDatabase" localSheetId="10" hidden="1">'Translations'!$A$1:$C$637</definedName>
    <definedName name="CNTR_AnnexIActivities">'A_InstallationData'!$Q$117:$Q$121</definedName>
    <definedName name="CNTR_ConnectionEntityList">'A_InstallationData'!$H$292:$H$301</definedName>
    <definedName name="CNTR_ConnectionEntityListCITL_IDs">'A_InstallationData'!$J$292:$J$301</definedName>
    <definedName name="CNTR_ConnectionEntityListTypes">'A_InstallationData'!$K$292:$K$301</definedName>
    <definedName name="CNTR_ConnectionListAndWithinInst">'A_InstallationData'!$H$291:$H$301</definedName>
    <definedName name="CNTR_ExistConnectionEntries">'A_InstallationData'!$G$304</definedName>
    <definedName name="CNTR_HasEntries_A_I">'A_InstallationData'!$G$282</definedName>
    <definedName name="CNTR_HasEntries_A_II">'A_InstallationData'!$G$283</definedName>
    <definedName name="CNTR_Merger">'A_InstallationData'!$Q$13</definedName>
    <definedName name="CNTR_MergerORSplitORTransfer">'A_InstallationData'!$R$15</definedName>
    <definedName name="CNTR_MissingData">'EUwideConstants'!$I$304:$I$309</definedName>
    <definedName name="CNTR_OnlyCombustion">'A_InstallationData'!$S$117</definedName>
    <definedName name="CNTR_TemplateVersion">'a_Contents'!$H$33</definedName>
    <definedName name="CNTR_UniqueID">'A_InstallationData'!$J$64</definedName>
    <definedName name="CNTR_YearMergerSplit">'A_InstallationData'!$R$18</definedName>
    <definedName name="EUconst_182CUF">'EUwideConstants'!$B$117</definedName>
    <definedName name="EUconst_30DayOrCalendarMonth">'EUwideConstants'!$B$68:$C$68</definedName>
    <definedName name="EUconst_AbsRel">'EUwideConstants'!$B$8:$C$8</definedName>
    <definedName name="EUconst_AdjF">'EUwideConstants'!$B$119</definedName>
    <definedName name="EUconst_AllocPrelim2013">'EUwideConstants'!$B$141</definedName>
    <definedName name="EUconst_Allowances">'EUwideConstants'!$B$92</definedName>
    <definedName name="EUconst_AllSubInstList">'EUwideConstants'!$E$317:$E$374</definedName>
    <definedName name="EUconst_AnnexIActivities">'EUwideConstants'!$B$216:$B$243</definedName>
    <definedName name="EUconst_ApplicationType">'EUwideConstants'!$B$61:$D$61</definedName>
    <definedName name="EUconst_BaselinePeriods">'EUwideConstants'!$B$5:$C$5</definedName>
    <definedName name="EUconst_BM">'EUwideConstants'!$B$17</definedName>
    <definedName name="EUconst_BMlist107">'EUwideConstants'!$E$275:$E$277</definedName>
    <definedName name="EUconst_BMlistBMvalues">'EUwideConstants'!$H$249:$H$300</definedName>
    <definedName name="EUconst_BMlistCLstatus">'EUwideConstants'!$G$249:$G$300</definedName>
    <definedName name="EUconst_BMlistElExchangability">'EUwideConstants'!$I$249:$I$300</definedName>
    <definedName name="EUconst_BMlistMatrix">'EUwideConstants'!$E$249:$I$300</definedName>
    <definedName name="EUconst_BMlistNames">'EUwideConstants'!$E$249:$E$300</definedName>
    <definedName name="EUconst_BMlistNumberOfActivity">'EUwideConstants'!$B$249:$B$300</definedName>
    <definedName name="EUconst_BMlistNumberOfBM">'EUwideConstants'!$C$249:$C$300</definedName>
    <definedName name="EUconst_BMlistSCUFvalues">'EUwideConstants'!$L$249:$L$300</definedName>
    <definedName name="EUconst_BMlistSpecialJumpTable">'EUwideConstants'!$K$249:$K$300</definedName>
    <definedName name="EUconst_BMlistSpecialReporting">'EUwideConstants'!$J$249:$J$300</definedName>
    <definedName name="EUconst_BMlistUnits">'EUwideConstants'!$F$249:$F$300</definedName>
    <definedName name="EUconst_BMSubinst">'EUwideConstants'!$B$25</definedName>
    <definedName name="EUconst_CapacityInitial">'EUwideConstants'!$B$132</definedName>
    <definedName name="Euconst_CapacitySource">'EUwideConstants'!$B$166:$G$166</definedName>
    <definedName name="EUconst_CEMSSource">'EUwideConstants'!$B$21</definedName>
    <definedName name="Euconst_CessationReason">'EUwideConstants'!$B$167:$F$167</definedName>
    <definedName name="EUconst_ChangeType">'EUwideConstants'!$B$64:$G$64</definedName>
    <definedName name="EUconst_ChangeType0">'EUwideConstants'!$B$63:$F$63</definedName>
    <definedName name="EUconst_ChangeType1">'EUwideConstants'!$B$65:$E$65</definedName>
    <definedName name="EUconst_CLnonCL">'EUwideConstants'!$B$83:$C$83</definedName>
    <definedName name="EUconst_CNTR_CAP">'EUwideConstants'!$B$105</definedName>
    <definedName name="EUconst_CNTR_CAP2Months">'EUwideConstants'!$B$106</definedName>
    <definedName name="EUconst_CNTR_CAPDelta">'EUwideConstants'!$B$109</definedName>
    <definedName name="EUconst_CNTR_CAPINI">'EUwideConstants'!$B$107</definedName>
    <definedName name="EUconst_CNTR_CAPNEW">'EUwideConstants'!$B$108</definedName>
    <definedName name="EUconst_CNTR_Check10Pct">'EUwideConstants'!$B$110</definedName>
    <definedName name="EUconst_CNTR_Check5Pct">'EUwideConstants'!$B$111</definedName>
    <definedName name="EUconst_CNTR_DesignCAP">'EUwideConstants'!$B$104</definedName>
    <definedName name="EUconst_CNTR_ELEXCH">'EUwideConstants'!$B$124</definedName>
    <definedName name="EUconst_CNTR_EmiBeforeStart">'EUwideConstants'!$B$102</definedName>
    <definedName name="EUconst_CNTR_Finitial">'EUwideConstants'!$B$103</definedName>
    <definedName name="EUconst_CNTR_HAL">'EUwideConstants'!$B$122</definedName>
    <definedName name="EUconst_CNTR_HALAdded">'EUwideConstants'!$B$112</definedName>
    <definedName name="EUconst_CNTR_HALspecial">'EUwideConstants'!$B$123</definedName>
    <definedName name="EUconst_CNTR_HEAT">'EUwideConstants'!$B$127</definedName>
    <definedName name="EUconst_CNTR_HVC">'EUwideConstants'!$B$129</definedName>
    <definedName name="EUconst_CNTR_nonETSMeasHeat">'EUwideConstants'!$B$157</definedName>
    <definedName name="EUconst_CNTR_PartCessALini">'EUwideConstants'!$B$113</definedName>
    <definedName name="EUconst_CNTR_PartCessAllocIni">'EUwideConstants'!$B$115</definedName>
    <definedName name="EUconst_CNTR_PartCessAllocLini">'EUwideConstants'!$B$115</definedName>
    <definedName name="EUconst_CNTR_PartCessALnew">'EUwideConstants'!$B$114</definedName>
    <definedName name="EUconst_CNTR_PeriodGreenfield">'EUwideConstants'!$B$116</definedName>
    <definedName name="EUconst_CNTR_PulpPaper">'EUwideConstants'!$B$125</definedName>
    <definedName name="EUconst_CNTR_SIG">'EUwideConstants'!$B$126</definedName>
    <definedName name="EUconst_CNTR_VCM">'EUwideConstants'!$B$128</definedName>
    <definedName name="EUconst_CombustionActivity">'EUwideConstants'!$B$216</definedName>
    <definedName name="EUconst_ConfirmAllowUseOfData">'EUwideConstants'!$B$95</definedName>
    <definedName name="EUconst_ConfirmApplicationForAlloc">'EUwideConstants'!$B$94:$B$94</definedName>
    <definedName name="EUconst_ConfirmationNotEligible">'EUwideConstants'!$B$93:$B$93</definedName>
    <definedName name="EUconst_ConfirmCessation">'EUwideConstants'!$B$96</definedName>
    <definedName name="EUconst_ConfirmMergerSplit">'EUwideConstants'!$B$210</definedName>
    <definedName name="EUconst_ConnectedEntityTypes">'EUwideConstants'!$B$69:$E$69</definedName>
    <definedName name="EUconst_ConnectionShortTypes">'EUwideConstants'!$B$71:$D$71</definedName>
    <definedName name="EUconst_ConnectionTransferTypes">'EUwideConstants'!$B$72:$C$72</definedName>
    <definedName name="EUconst_ConnectionTypes">'EUwideConstants'!$B$70:$D$70</definedName>
    <definedName name="EUconst_CWTpa">'EUwideConstants'!$B$91</definedName>
    <definedName name="EUconst_DateMissing">'EUwideConstants'!$B$148</definedName>
    <definedName name="EUconst_Days">'EUwideConstants'!$B$3:$AF$3</definedName>
    <definedName name="EUconst_ElBM">'EUwideConstants'!$B$78</definedName>
    <definedName name="EUconst_ERR_40pct">'EUwideConstants'!$B$171</definedName>
    <definedName name="EUconst_ERR_ActivityMissing">'EUwideConstants'!$B$199</definedName>
    <definedName name="EUconst_ERR_Capacity0.9">'EUwideConstants'!$B$170</definedName>
    <definedName name="EUconst_ERR_Capacity1.1">'EUwideConstants'!$B$169</definedName>
    <definedName name="EUconst_ERR_CessationIteme">'EUwideConstants'!$B$179</definedName>
    <definedName name="EUconst_ERR_DatesBeforeJuly2011">'EUwideConstants'!$B$197</definedName>
    <definedName name="EUconst_ERR_DatesSorting">'EUwideConstants'!$B$195</definedName>
    <definedName name="EUconst_ERR_DoubleBMentry">'EUwideConstants'!$B$180</definedName>
    <definedName name="EUconst_ERR_FirstSub">'EUwideConstants'!$B$172</definedName>
    <definedName name="EUconst_ERR_Goto_DI2">'EUwideConstants'!$B$185</definedName>
    <definedName name="EUconst_ERR_InitialDateMissing">'EUwideConstants'!$B$198</definedName>
    <definedName name="EUconst_ERR_Mandatory_abd">'EUwideConstants'!$B$175</definedName>
    <definedName name="EUconst_ERR_Mandatory_ApplicationType">'EUwideConstants'!$B$174</definedName>
    <definedName name="EUconst_ERR_Mandatory_Bbc">'EUwideConstants'!$B$183</definedName>
    <definedName name="EUconst_ERR_Mandatory_ef">'EUwideConstants'!$B$176</definedName>
    <definedName name="EUconst_ERR_Mandatory_g">'EUwideConstants'!$B$177</definedName>
    <definedName name="EUconst_ERR_MandatoryDII3a">'EUwideConstants'!$B$187</definedName>
    <definedName name="EUconst_ERR_MandatoryEII4">'EUwideConstants'!$B$186</definedName>
    <definedName name="EUconst_ERR_MissingFallBackEntry">'EUwideConstants'!$B$182</definedName>
    <definedName name="EUconst_ERR_MissingSubInstEntry">'EUwideConstants'!$B$181</definedName>
    <definedName name="EUconst_ERR_NewSub">'EUwideConstants'!$B$173</definedName>
    <definedName name="EUconst_ERR_NoSignificantChange">'EUwideConstants'!$B$178</definedName>
    <definedName name="EUconst_ERR_PartialCessation">'EUwideConstants'!$B$168</definedName>
    <definedName name="EUconst_ERR_RangeOfStartingDate">'EUwideConstants'!$B$196</definedName>
    <definedName name="EUconst_ERR_Rounding">'EUwideConstants'!$B$212</definedName>
    <definedName name="EUconst_ERR_StartWithFuels">'EUwideConstants'!$B$184</definedName>
    <definedName name="EUconst_Error">'EUwideConstants'!$B$140</definedName>
    <definedName name="EUconst_EUA">'EUwideConstants'!$B$13</definedName>
    <definedName name="EUconst_EUApa">'EUwideConstants'!$B$40</definedName>
    <definedName name="EUconst_EUApt">'EUwideConstants'!$B$41</definedName>
    <definedName name="EUconst_Experimental">'EUwideConstants'!$B$164</definedName>
    <definedName name="EUconst_FallBackListBMvalues">'EUwideConstants'!$H$304:$H$309</definedName>
    <definedName name="EUconst_FallBackListCLstatus">'EUwideConstants'!$G$304:$G$309</definedName>
    <definedName name="EUconst_FallBackListMatrix">'EUwideConstants'!$E$304:$I$309</definedName>
    <definedName name="EUconst_FallBackListNames">'EUwideConstants'!$E$304:$E$309</definedName>
    <definedName name="EUconst_FallBackListNumber">'EUwideConstants'!$C$304:$C$309</definedName>
    <definedName name="EUconst_FallBackListUnits">'EUwideConstants'!$F$304:$F$309</definedName>
    <definedName name="EUconst_FBSubinst">'EUwideConstants'!$B$26</definedName>
    <definedName name="EUconst_Fuel">'EUwideConstants'!$B$16</definedName>
    <definedName name="EUconst_FuelBMvalue">'EUwideConstants'!$B$79</definedName>
    <definedName name="EUconst_FuelUseTypes">'EUwideConstants'!$B$75:$E$75</definedName>
    <definedName name="EUconst_GJ">'EUwideConstants'!$B$31</definedName>
    <definedName name="EUconst_GJpa">'EUwideConstants'!$B$43</definedName>
    <definedName name="EUconst_GJperTorKNm3">'EUwideConstants'!$B$86:$C$86</definedName>
    <definedName name="EUconst_GJperUnit">'EUwideConstants'!$B$89</definedName>
    <definedName name="EUconst_GJpt">'EUwideConstants'!$B$42</definedName>
    <definedName name="EUconst_HAL96capacity">'EUwideConstants'!$B$130</definedName>
    <definedName name="EUconst_HAL96RCUF">'EUwideConstants'!$B$131</definedName>
    <definedName name="EUconst_HAL99changed">'EUwideConstants'!$B$136</definedName>
    <definedName name="EUconst_HAL99deltaC">'EUwideConstants'!$B$135</definedName>
    <definedName name="EUconst_HAL99initial">'EUwideConstants'!$B$133</definedName>
    <definedName name="EUconst_HAL99total">'EUwideConstants'!$B$137</definedName>
    <definedName name="EUconst_HAL99unchanged">'EUwideConstants'!$B$134</definedName>
    <definedName name="EUconst_HALsum">'EUwideConstants'!$B$138</definedName>
    <definedName name="EUconst_HCUF">'EUwideConstants'!$B$139</definedName>
    <definedName name="EUconst_HCUFmissing">'EUwideConstants'!$B$150</definedName>
    <definedName name="EUconst_HCUFrange">'EUwideConstants'!$B$152</definedName>
    <definedName name="EUconst_HeatBMvalue">'EUwideConstants'!$B$77</definedName>
    <definedName name="EUconst_HeatToolComplex">'EUwideConstants'!$B$161</definedName>
    <definedName name="EUconst_HeatToolSelection">'EUwideConstants'!$B$162:$C$162</definedName>
    <definedName name="EUconst_HeatToolSimple">'EUwideConstants'!$B$160</definedName>
    <definedName name="EUconst_HeatUseTypes">'EUwideConstants'!$B$74:$F$74</definedName>
    <definedName name="EUconst_HouseholdReportMethods">'EUwideConstants'!$B$143:$C$143</definedName>
    <definedName name="EUconst_Households">'EUwideConstants'!$B$156</definedName>
    <definedName name="EUconst_Incomplete">'EUwideConstants'!$B$144</definedName>
    <definedName name="EUconst_Inconsistent">'EUwideConstants'!$B$146</definedName>
    <definedName name="EUconst_kNm3pa">'EUwideConstants'!$B$84</definedName>
    <definedName name="EUconst_LatestChange">'EUwideConstants'!$B$163</definedName>
    <definedName name="EUconst_Manual">'EUwideConstants'!$B$149</definedName>
    <definedName name="EUconst_MBSource">'EUwideConstants'!$B$20</definedName>
    <definedName name="EUconst_MergerSplitOrTransfer">'EUwideConstants'!$B$211:$D$211</definedName>
    <definedName name="EUconst_min">'EUwideConstants'!$B$50</definedName>
    <definedName name="EUconst_minpcelld">'EUwideConstants'!$B$51</definedName>
    <definedName name="EUconst_MNm3pa">'EUwideConstants'!$B$90</definedName>
    <definedName name="EUconst_Month">'EUwideConstants'!$B$15</definedName>
    <definedName name="EUconst_Months">'EUwideConstants'!$B$4:$M$4</definedName>
    <definedName name="EUconst_MsgApplyArt96">'EUwideConstants'!$B$206</definedName>
    <definedName name="EUconst_MsgBackToSheetF">'EUwideConstants'!$B$203</definedName>
    <definedName name="EUconst_MsgEnterThisSection">'EUwideConstants'!$B$200</definedName>
    <definedName name="EUconst_MsgGoOn">'EUwideConstants'!$B$191</definedName>
    <definedName name="EUconst_MsgGoOn_cd">'EUwideConstants'!$B$204</definedName>
    <definedName name="EUconst_MsgGoOn_d">'EUwideConstants'!$B$193</definedName>
    <definedName name="EUconst_MsgGoOn_e">'EUwideConstants'!$B$205</definedName>
    <definedName name="EUconst_MsgGoOnIfNotRelevant">'EUwideConstants'!$B$194</definedName>
    <definedName name="EUconst_MsgGoToNextSheet">'EUwideConstants'!$B$201</definedName>
    <definedName name="EUconst_MsgGoToNextSubInst">'EUwideConstants'!$B$202</definedName>
    <definedName name="EUconst_MsgNewEntrant">'EUwideConstants'!$B$62</definedName>
    <definedName name="EUConst_MsgPartCessCritFulfilled">'EUwideConstants'!$B$121</definedName>
    <definedName name="EUconst_MsgProceedEII2">'EUwideConstants'!$B$190</definedName>
    <definedName name="EUconst_MsgProceedF">'EUwideConstants'!$B$189</definedName>
    <definedName name="EUconst_MsgSeeFirst">'EUwideConstants'!$B$188</definedName>
    <definedName name="EUconst_MsgUseElExchTool">'EUwideConstants'!$B$192</definedName>
    <definedName name="EUconst_MSlist">'EUwideConstants'!$B$158:$AF$158</definedName>
    <definedName name="EUconst_MSlistISOcodes">'EUwideConstants'!$B$159:$AF$159</definedName>
    <definedName name="EUconst_mV">'EUwideConstants'!$B$53</definedName>
    <definedName name="EUconst_MWh">'EUwideConstants'!$B$36</definedName>
    <definedName name="EUconst_MWhpa">'EUwideConstants'!$B$37</definedName>
    <definedName name="EUconst_N2OSource">'EUwideConstants'!$B$22</definedName>
    <definedName name="EUconst_NA">'EUwideConstants'!$B$12</definedName>
    <definedName name="EUconst_Negative">'EUwideConstants'!$B$145</definedName>
    <definedName name="EUconst_NormalOrChanged">'EUwideConstants'!$B$67:$C$67</definedName>
    <definedName name="EUconst_NotEligible">'EUwideConstants'!$B$155</definedName>
    <definedName name="EUconst_NotRelevant">'EUwideConstants'!$B$81</definedName>
    <definedName name="EUconst_OK">'EUwideConstants'!$B$147</definedName>
    <definedName name="EUconst_Or">'EUwideConstants'!$B$57</definedName>
    <definedName name="EUconst_PartCessAdjF">'EUwideConstants'!$F$312:$F$315</definedName>
    <definedName name="EUconst_PartCessALred">'EUwideConstants'!$E$312:$E$315</definedName>
    <definedName name="EUconst_PartCessMessage">'EUwideConstants'!$G$312:$G$315</definedName>
    <definedName name="EUConst_PartCessYear">'EUwideConstants'!$B$120</definedName>
    <definedName name="EUconst_PFCmethods">'EUwideConstants'!$B$142:$C$142</definedName>
    <definedName name="EUconst_PFCSource">'EUwideConstants'!$B$23</definedName>
    <definedName name="EUconst_PointA">'EUwideConstants'!$B$165</definedName>
    <definedName name="EUconst_PrivateHouseholds">'EUwideConstants'!$B$10</definedName>
    <definedName name="EUconst_ProcessEmissionTypes">'EUwideConstants'!$B$76:$J$76</definedName>
    <definedName name="EUconst_ProcessSource">'EUwideConstants'!$B$19</definedName>
    <definedName name="EUconst_PulpPlacedOnMarket">'EUwideConstants'!$B$207</definedName>
    <definedName name="EUconst_RatioRange">'EUwideConstants'!$B$154</definedName>
    <definedName name="EUconst_RCUFmissing">'EUwideConstants'!$B$151</definedName>
    <definedName name="EUconst_RCUFrange">'EUwideConstants'!$B$153</definedName>
    <definedName name="EUconst_Relevant">'EUwideConstants'!$B$80</definedName>
    <definedName name="EUconst_RelevantAmountPulp">'EUwideConstants'!$B$208</definedName>
    <definedName name="EUconst_RelevantNotRelevant">'EUwideConstants'!$B$82:$C$82</definedName>
    <definedName name="EUconst_relOrMWhpa">'EUwideConstants'!$B$59</definedName>
    <definedName name="EUconst_relOrtCO2pa">'EUwideConstants'!$B$60</definedName>
    <definedName name="EUconst_relOrTJpa">'EUwideConstants'!$B$58</definedName>
    <definedName name="EUconst_ReportingYears">'EUwideConstants'!$B$2:$K$2</definedName>
    <definedName name="EUconst_StartDate">'EUwideConstants'!$B$118</definedName>
    <definedName name="EUconst_SubInst17">'EUwideConstants'!$B$66:$C$66</definedName>
    <definedName name="EUconst_SubInstallation">'EUwideConstants'!$B$18</definedName>
    <definedName name="EUconst_SumBioCO2">'EUwideConstants'!$B$98</definedName>
    <definedName name="EUconst_SumCO2">'EUwideConstants'!$B$97</definedName>
    <definedName name="EUconst_SumEnergyIN">'EUwideConstants'!$B$99</definedName>
    <definedName name="EUconst_SumN2O">'EUwideConstants'!$B$100</definedName>
    <definedName name="EUconst_SumPFC">'EUwideConstants'!$B$101</definedName>
    <definedName name="EUconst_t">'EUwideConstants'!$B$38</definedName>
    <definedName name="EUconst_tCO2">'EUwideConstants'!$B$33</definedName>
    <definedName name="EUconst_tCO2e">'EUwideConstants'!$B$32</definedName>
    <definedName name="EUconst_tCO2epa">'EUwideConstants'!$B$49</definedName>
    <definedName name="EUconst_tCO2ept">'EUwideConstants'!$B$56</definedName>
    <definedName name="EUconst_tCO2eptN2O">'EUwideConstants'!$B$48</definedName>
    <definedName name="EUconst_tCO2pa">'EUwideConstants'!$B$45</definedName>
    <definedName name="EUconst_tCO2pkNm3">'EUwideConstants'!$B$88</definedName>
    <definedName name="EUconst_tCO2pt">'EUwideConstants'!$B$46</definedName>
    <definedName name="EUconst_tCO2pTJ">'EUwideConstants'!$B$44</definedName>
    <definedName name="EUconst_tCO2pTJorT">'EUwideConstants'!$B$87:$D$87</definedName>
    <definedName name="EUconst_TJ">'EUwideConstants'!$B$30</definedName>
    <definedName name="EUconst_TJpa">'EUwideConstants'!$B$35</definedName>
    <definedName name="EUconst_tN2O">'EUwideConstants'!$B$34</definedName>
    <definedName name="EUconst_tN2Opa">'EUwideConstants'!$B$47</definedName>
    <definedName name="EUconst_TonnesOrkNm3pa">'EUwideConstants'!$B$85:$C$85</definedName>
    <definedName name="EUconst_Tons">'EUwideConstants'!$B$29</definedName>
    <definedName name="EUconst_TotAdded">'EUwideConstants'!$B$9:$C$9</definedName>
    <definedName name="EUconst_TotFreeAlloc">'EUwideConstants'!$B$11</definedName>
    <definedName name="EUconst_tpa">'EUwideConstants'!$B$39</definedName>
    <definedName name="EUconst_TransfSource">'EUwideConstants'!$B$24</definedName>
    <definedName name="Euconst_TrueFalse">'EUwideConstants'!$B$6:$C$6</definedName>
    <definedName name="Euconst_TrueFalseNA">'EUwideConstants'!$B$7:$D$7</definedName>
    <definedName name="EUconst_Unit">'EUwideConstants'!$B$14</definedName>
    <definedName name="EUconst_unitOvervoltF">'EUwideConstants'!$B$54</definedName>
    <definedName name="EUconst_unitRelPFC">'EUwideConstants'!$B$55</definedName>
    <definedName name="EUconst_unitSlopeF">'EUwideConstants'!$B$52</definedName>
    <definedName name="EUconst_WithinInst">'EUwideConstants'!$B$73</definedName>
    <definedName name="EUconst_Year">'EUwideConstants'!$B$27</definedName>
    <definedName name="JUMP_A_Bottom">'A_InstallationData'!$D$274</definedName>
    <definedName name="JUMP_A_I">'A_InstallationData'!$D$42</definedName>
    <definedName name="JUMP_A_I1">'A_InstallationData'!$C$46</definedName>
    <definedName name="JUMP_A_I2">'A_InstallationData'!$B$97:$N$110</definedName>
    <definedName name="JUMP_A_I4">'A_InstallationData'!$B$112</definedName>
    <definedName name="JUMP_A_IV1">'A_InstallationData'!$C$149</definedName>
    <definedName name="JUMP_A_Top">'A_InstallationData'!$C$6</definedName>
    <definedName name="JUMP_A_VI">'A_InstallationData'!$C$147</definedName>
    <definedName name="JUMP_Coverpage_Bottom">'a_Contents'!$D$47</definedName>
    <definedName name="JUMP_Coverpage_Top">'a_Contents'!$C$6</definedName>
    <definedName name="JUMP_Guidelines_Bottom">'b_Guidelines &amp; conditions'!$C$104</definedName>
    <definedName name="JUMP_Guidelines_Home">'b_Guidelines &amp; conditions'!$C$8</definedName>
    <definedName name="JUMP_I_Bottom">'I_MSspecific'!$C$30</definedName>
    <definedName name="JUMP_I_MSspecific">'I_MSspecific'!$C$7</definedName>
    <definedName name="JUMP_I_Top">'I_MSspecific'!$B$5</definedName>
    <definedName name="JUMP_J_I">'J_Comments'!$C$7</definedName>
    <definedName name="JUMP_J_II">'J_Comments'!$C$28</definedName>
    <definedName name="JUMP_J_Top">'J_Comments'!$B$5</definedName>
    <definedName name="JUMP_TOC_Home">'a_Contents'!$B$6</definedName>
    <definedName name="MSconst_FuelCategoryList">'MSParameters'!$A$20:$A$73</definedName>
    <definedName name="MSconst_RequireConnectedInstContact">'MSParameters'!$B$3</definedName>
    <definedName name="MSconst_RequireDetailedProductionData">'MSParameters'!$B$4</definedName>
    <definedName name="MSconst_RequireDetailesFallBack">'MSParameters'!$B$5</definedName>
    <definedName name="MSconst_RequirePermitInfo">'MSParameters'!$B$2</definedName>
    <definedName name="_xlnm.Print_Area" localSheetId="0">'a_Contents'!$B$6:$L$47</definedName>
    <definedName name="_xlnm.Print_Area" localSheetId="2">'A_InstallationData'!$C$5:$N$198</definedName>
    <definedName name="_xlnm.Print_Area" localSheetId="1">'b_Guidelines &amp; conditions'!$B$5:$L$103</definedName>
    <definedName name="_xlnm.Print_Area" localSheetId="6">'I_MSspecific'!$A$4:$M$29</definedName>
    <definedName name="_xlnm.Print_Area" localSheetId="7">'J_Comments'!$A$4:$M$40</definedName>
    <definedName name="_xlnm.Print_Area" localSheetId="11">'VersionDocumentation'!$A$1:$E$89</definedName>
  </definedNames>
  <calcPr fullCalcOnLoad="1"/>
</workbook>
</file>

<file path=xl/comments12.xml><?xml version="1.0" encoding="utf-8"?>
<comments xmlns="http://schemas.openxmlformats.org/spreadsheetml/2006/main">
  <authors>
    <author>Fallmann Hubert</author>
  </authors>
  <commentList>
    <comment ref="C12" authorId="0">
      <text>
        <r>
          <rPr>
            <b/>
            <sz val="9"/>
            <rFont val="Tahoma"/>
            <family val="2"/>
          </rPr>
          <t>Originally, this was "NER application", but changed with distribution of the NE&amp;C UBA tool.</t>
        </r>
      </text>
    </comment>
    <comment ref="C11" authorId="0">
      <text>
        <r>
          <rPr>
            <b/>
            <sz val="9"/>
            <rFont val="Tahoma"/>
            <family val="2"/>
          </rPr>
          <t>Originally, this was "NER application", but changed with distribution of the NE&amp;C UBA tool.</t>
        </r>
      </text>
    </comment>
  </commentList>
</comments>
</file>

<file path=xl/comments3.xml><?xml version="1.0" encoding="utf-8"?>
<comments xmlns="http://schemas.openxmlformats.org/spreadsheetml/2006/main">
  <authors>
    <author>Fallmann Hubert</author>
  </authors>
  <commentList>
    <comment ref="H291" authorId="0">
      <text>
        <r>
          <rPr>
            <b/>
            <sz val="9"/>
            <rFont val="Tahoma"/>
            <family val="2"/>
          </rPr>
          <t>Needed for heat sub-installation, and for nitric acid</t>
        </r>
      </text>
    </comment>
  </commentList>
</comments>
</file>

<file path=xl/comments9.xml><?xml version="1.0" encoding="utf-8"?>
<comments xmlns="http://schemas.openxmlformats.org/spreadsheetml/2006/main">
  <authors>
    <author>Hubert Fallmann</author>
  </authors>
  <commentList>
    <comment ref="B133" authorId="0">
      <text>
        <r>
          <rPr>
            <b/>
            <sz val="9"/>
            <rFont val="Tahoma"/>
            <family val="2"/>
          </rPr>
          <t>Identical to HAL96_total</t>
        </r>
      </text>
    </comment>
    <comment ref="G267" authorId="0">
      <text>
        <r>
          <rPr>
            <b/>
            <sz val="9"/>
            <rFont val="Tahoma"/>
            <family val="2"/>
          </rPr>
          <t>In line with CCC vote of 19.5.2011</t>
        </r>
      </text>
    </comment>
    <comment ref="G268" authorId="0">
      <text>
        <r>
          <rPr>
            <b/>
            <sz val="9"/>
            <rFont val="Tahoma"/>
            <family val="2"/>
          </rPr>
          <t>In line with CCC vote of 19.5.2011</t>
        </r>
      </text>
    </comment>
    <comment ref="G269" authorId="0">
      <text>
        <r>
          <rPr>
            <b/>
            <sz val="9"/>
            <rFont val="Tahoma"/>
            <family val="2"/>
          </rPr>
          <t>In line with CCC vote of 19.5.2011</t>
        </r>
      </text>
    </comment>
    <comment ref="G271" authorId="0">
      <text>
        <r>
          <rPr>
            <b/>
            <sz val="9"/>
            <rFont val="Tahoma"/>
            <family val="2"/>
          </rPr>
          <t>In line with CCC vote of April 2012</t>
        </r>
      </text>
    </comment>
    <comment ref="L304" authorId="0">
      <text>
        <r>
          <rPr>
            <sz val="9"/>
            <rFont val="Tahoma"/>
            <family val="2"/>
          </rPr>
          <t>Only for completeness during macro processing… 
Not needed for Calculations</t>
        </r>
      </text>
    </comment>
  </commentList>
</comments>
</file>

<file path=xl/sharedStrings.xml><?xml version="1.0" encoding="utf-8"?>
<sst xmlns="http://schemas.openxmlformats.org/spreadsheetml/2006/main" count="1708" uniqueCount="1174">
  <si>
    <t>CHANGED!</t>
  </si>
  <si>
    <t>EUconst_CNTR_EmiBeforeStart</t>
  </si>
  <si>
    <t>EmiBeforeStart_</t>
  </si>
  <si>
    <t>EUconst_month</t>
  </si>
  <si>
    <t>EUconst_CNTR_PulpPaper</t>
  </si>
  <si>
    <t>PulpPaper107_</t>
  </si>
  <si>
    <t>EUconst_ChangeType</t>
  </si>
  <si>
    <t>EUconst_CNTR_DesignCAP</t>
  </si>
  <si>
    <t>DesignCAP_</t>
  </si>
  <si>
    <t>Partial cessation adjustment factor</t>
  </si>
  <si>
    <t>AdjF</t>
  </si>
  <si>
    <t>AL reduction</t>
  </si>
  <si>
    <t>EUconst_AdjF</t>
  </si>
  <si>
    <t>AdjF_</t>
  </si>
  <si>
    <t>missing data</t>
  </si>
  <si>
    <t>E.II !</t>
  </si>
  <si>
    <t>E.I !</t>
  </si>
  <si>
    <t>D.II !</t>
  </si>
  <si>
    <t>EUConst_PartCessYear</t>
  </si>
  <si>
    <t>PartCessYear_</t>
  </si>
  <si>
    <t>EUconst_CNTR_PartCessALini</t>
  </si>
  <si>
    <t>PartCessALini_</t>
  </si>
  <si>
    <t>EUconst_CNTR_PartCessALnew</t>
  </si>
  <si>
    <t>PartCessALnew_</t>
  </si>
  <si>
    <t>EUconst_SubInst17</t>
  </si>
  <si>
    <t>EUconst_ChangeType1</t>
  </si>
  <si>
    <t>All subinstallations</t>
  </si>
  <si>
    <t>EUconst_CNTR_PartCessAllocLini</t>
  </si>
  <si>
    <t>PartCessAllocIni_</t>
  </si>
  <si>
    <t>message</t>
  </si>
  <si>
    <t>100% &gt; x &gt; 50%</t>
  </si>
  <si>
    <t>50% &gt;= x &gt; 25%</t>
  </si>
  <si>
    <t>25% &gt;= x &gt; 10%</t>
  </si>
  <si>
    <t>x &gt;= 90%</t>
  </si>
  <si>
    <t>Euconst_CapacitySource</t>
  </si>
  <si>
    <t>EUconst_CNTR_CAP2Months</t>
  </si>
  <si>
    <t>CAP2Months_</t>
  </si>
  <si>
    <t>EUconst_NormalOrChanged</t>
  </si>
  <si>
    <t>EUconst_TrueFalse</t>
  </si>
  <si>
    <t>EUconst_TrueFalseNA</t>
  </si>
  <si>
    <t>I</t>
  </si>
  <si>
    <t>EUconst_Negative</t>
  </si>
  <si>
    <t>SUM_CO2</t>
  </si>
  <si>
    <t>SUM_bioCO2</t>
  </si>
  <si>
    <t>SUM_EnergyIN</t>
  </si>
  <si>
    <t>EUconst_SumCO2</t>
  </si>
  <si>
    <t>EUconst_SumBioCO2</t>
  </si>
  <si>
    <t>EUconst_SumEnergyIN</t>
  </si>
  <si>
    <t>EUconst_SumN2O</t>
  </si>
  <si>
    <t>EUconst_SumPFC</t>
  </si>
  <si>
    <t>SUM_N2O</t>
  </si>
  <si>
    <t>SUM_PFC</t>
  </si>
  <si>
    <t>NE&amp;C data file</t>
  </si>
  <si>
    <t>end</t>
  </si>
  <si>
    <t>EUconst_Year</t>
  </si>
  <si>
    <t>EUconst_Tons</t>
  </si>
  <si>
    <t>EUconst_MNm3pa</t>
  </si>
  <si>
    <t>Norway</t>
  </si>
  <si>
    <t>Liechtenstein</t>
  </si>
  <si>
    <t>IS</t>
  </si>
  <si>
    <t>LI</t>
  </si>
  <si>
    <t>NO</t>
  </si>
  <si>
    <t>UBA</t>
  </si>
  <si>
    <t>Name</t>
  </si>
  <si>
    <t>TEXT (Language Version)</t>
  </si>
  <si>
    <t>English Version (Original)</t>
  </si>
  <si>
    <t>Constant</t>
  </si>
  <si>
    <t>Further constants</t>
  </si>
  <si>
    <t>EUconst_ReportingYears</t>
  </si>
  <si>
    <t>End</t>
  </si>
  <si>
    <t>II</t>
  </si>
  <si>
    <t>tC2F6 / tCF4</t>
  </si>
  <si>
    <t>tCO2e/tN2O</t>
  </si>
  <si>
    <t>EUconst_FuelBMvalue</t>
  </si>
  <si>
    <t>http://ec.europa.eu/clima/policies/ets/index_en.htm</t>
  </si>
  <si>
    <t>EUconst_ProcessEmissionTypes</t>
  </si>
  <si>
    <t>N2O</t>
  </si>
  <si>
    <t>PFCs</t>
  </si>
  <si>
    <t>Draft III NIMs baseline data</t>
  </si>
  <si>
    <t>NIMs 3rd draft</t>
  </si>
  <si>
    <t>CNTR_HasEntries_A_I:</t>
  </si>
  <si>
    <t>Used for formatting and Error messages.</t>
  </si>
  <si>
    <t>EUconst_MsgApplyArt96</t>
  </si>
  <si>
    <t>a</t>
  </si>
  <si>
    <t>EUconst_ERR_Capacity0.9</t>
  </si>
  <si>
    <t>EUconst_CNTR_Finitial</t>
  </si>
  <si>
    <t>FInitial_</t>
  </si>
  <si>
    <t>SCUF</t>
  </si>
  <si>
    <t>EUconst_TotAdded</t>
  </si>
  <si>
    <t>EUconst_EUA</t>
  </si>
  <si>
    <t>EUA</t>
  </si>
  <si>
    <t>EUconst_EUApa</t>
  </si>
  <si>
    <t>EUconst_EUApt</t>
  </si>
  <si>
    <t>Default values</t>
  </si>
  <si>
    <t>EUconst_HALsum</t>
  </si>
  <si>
    <t>HALsum_</t>
  </si>
  <si>
    <t>EUconst_AllocPrelim2013</t>
  </si>
  <si>
    <t>AllocPrelim2013_</t>
  </si>
  <si>
    <t>Version comments</t>
  </si>
  <si>
    <t>EUconst_ERR_DatesBeforeJuly2011</t>
  </si>
  <si>
    <t>EUconst_MsgGoToNextSheet</t>
  </si>
  <si>
    <t>EUConst_MsgPartCessCritFulfilled</t>
  </si>
  <si>
    <t>EUconst_ERR_Mandatory_ef</t>
  </si>
  <si>
    <t>EUconst_TotFreeAlloc</t>
  </si>
  <si>
    <t>EUconst_DateMissing</t>
  </si>
  <si>
    <t>EUconst_CNTR_HEAT</t>
  </si>
  <si>
    <t>HEAT_</t>
  </si>
  <si>
    <t>EUconst_CNTR_VCM</t>
  </si>
  <si>
    <t>VCM_</t>
  </si>
  <si>
    <t>EUconst_CNTR_HVC</t>
  </si>
  <si>
    <t>HVC_</t>
  </si>
  <si>
    <t>EUconst_Unit</t>
  </si>
  <si>
    <t>EUconst_GJ</t>
  </si>
  <si>
    <t>GJ</t>
  </si>
  <si>
    <t>EUconst_MWh</t>
  </si>
  <si>
    <t>MWh</t>
  </si>
  <si>
    <t>EUconst_t</t>
  </si>
  <si>
    <t>t</t>
  </si>
  <si>
    <t>EUconst_tCO2</t>
  </si>
  <si>
    <t>t CO2</t>
  </si>
  <si>
    <t>EUconst_tN2O</t>
  </si>
  <si>
    <t>t N2O</t>
  </si>
  <si>
    <t>EUconst_Or</t>
  </si>
  <si>
    <t>(d)</t>
  </si>
  <si>
    <t>III</t>
  </si>
  <si>
    <t>Unit</t>
  </si>
  <si>
    <t>EUconst_ERR_Mandatory_g</t>
  </si>
  <si>
    <t>EUconst_ERR_Mandatory_abd</t>
  </si>
  <si>
    <t>EUconst_Experimental</t>
  </si>
  <si>
    <t>EUconst_PointA</t>
  </si>
  <si>
    <t>EUconst_ERR_DoubleBMentry</t>
  </si>
  <si>
    <t>EUconst_ERR_MissingSubInstEntry</t>
  </si>
  <si>
    <t>EUconst_ERR_MissingFallBackEntry</t>
  </si>
  <si>
    <t>ETS coverage (f. formatting)</t>
  </si>
  <si>
    <t>0 &lt;= RCUF &lt;=1 !</t>
  </si>
  <si>
    <t>EUconst_MSlist</t>
  </si>
  <si>
    <t>EUconst_MSlistISOcodes</t>
  </si>
  <si>
    <t>MSconst_RequirePermitInfo</t>
  </si>
  <si>
    <t>v.</t>
  </si>
  <si>
    <t>vi.</t>
  </si>
  <si>
    <t>vii.</t>
  </si>
  <si>
    <t>viii.</t>
  </si>
  <si>
    <t>ix.</t>
  </si>
  <si>
    <t>For formatting of capacity list:</t>
  </si>
  <si>
    <t>CNTR_ExistSubInstEntries</t>
  </si>
  <si>
    <t>For formatting of connection list:</t>
  </si>
  <si>
    <t>CNTR_ExistConnectionEntries</t>
  </si>
  <si>
    <t>MSconst_RequireConnectedInstContact</t>
  </si>
  <si>
    <t>EUconst_MWhpa</t>
  </si>
  <si>
    <t>EUconst_tpa</t>
  </si>
  <si>
    <t>EUconst_GJpt</t>
  </si>
  <si>
    <t>EUconst_tCO2pTJ</t>
  </si>
  <si>
    <t>EUconst_tCO2pa</t>
  </si>
  <si>
    <t>EUconst_tCO2pt</t>
  </si>
  <si>
    <t>EUconst_TJpa</t>
  </si>
  <si>
    <t>EUconst_tN2Opa</t>
  </si>
  <si>
    <t>EUconst_tCO2eptN2O</t>
  </si>
  <si>
    <t>EUconst_tCO2epa</t>
  </si>
  <si>
    <t>EUconst_min</t>
  </si>
  <si>
    <t>EUconst_minpcelld</t>
  </si>
  <si>
    <t>EUconst_unitSlopeF</t>
  </si>
  <si>
    <t>EUconst_mV</t>
  </si>
  <si>
    <t>EUconst_unitOvervoltF</t>
  </si>
  <si>
    <t>EUconst_unitRelPFC</t>
  </si>
  <si>
    <t>EUconst_tCO2ept</t>
  </si>
  <si>
    <t>EUconst_relOrTJpa</t>
  </si>
  <si>
    <t>controls</t>
  </si>
  <si>
    <t>Version:</t>
  </si>
  <si>
    <t>Info for automatic Version detection</t>
  </si>
  <si>
    <t>Template type:</t>
  </si>
  <si>
    <t>Type list:</t>
  </si>
  <si>
    <t>Language:</t>
  </si>
  <si>
    <t>Issued by:</t>
  </si>
  <si>
    <t>European Commission</t>
  </si>
  <si>
    <t>Bulgarian</t>
  </si>
  <si>
    <t>bg</t>
  </si>
  <si>
    <t>Spanish</t>
  </si>
  <si>
    <t>es</t>
  </si>
  <si>
    <t>Czech</t>
  </si>
  <si>
    <t>cs</t>
  </si>
  <si>
    <t>Danish</t>
  </si>
  <si>
    <t>da</t>
  </si>
  <si>
    <t>German</t>
  </si>
  <si>
    <t>de</t>
  </si>
  <si>
    <t>Estonian</t>
  </si>
  <si>
    <t>et</t>
  </si>
  <si>
    <t>Greek</t>
  </si>
  <si>
    <t>el</t>
  </si>
  <si>
    <t>English</t>
  </si>
  <si>
    <t>en</t>
  </si>
  <si>
    <t>French</t>
  </si>
  <si>
    <t>fr</t>
  </si>
  <si>
    <t>Italian</t>
  </si>
  <si>
    <t>it</t>
  </si>
  <si>
    <t>Latvian</t>
  </si>
  <si>
    <t>EUconst_CNTR_nonETSMeasHeat</t>
  </si>
  <si>
    <t>HAL96_capacity_</t>
  </si>
  <si>
    <t>HAL96_RCUF_</t>
  </si>
  <si>
    <t>EUconst_HAL96capacity</t>
  </si>
  <si>
    <t>EUconst_HAL96RCUF</t>
  </si>
  <si>
    <t>EUconst_Error</t>
  </si>
  <si>
    <t>ERR_</t>
  </si>
  <si>
    <t>iv.</t>
  </si>
  <si>
    <t>EUconst_FuelUseTypes</t>
  </si>
  <si>
    <t>EUconst_ConnectionTransferTypes</t>
  </si>
  <si>
    <t>EUconst_ConnectionShortTypes</t>
  </si>
  <si>
    <t>CO2</t>
  </si>
  <si>
    <t>EUconst_CNTR_CAPINI</t>
  </si>
  <si>
    <t>EUconst_CNTR_CAPNEW</t>
  </si>
  <si>
    <t>CAPINI_</t>
  </si>
  <si>
    <t>CAPNEW_</t>
  </si>
  <si>
    <t>IV</t>
  </si>
  <si>
    <t>Fuel type description</t>
  </si>
  <si>
    <t xml:space="preserve">Emission factor </t>
  </si>
  <si>
    <r>
      <t>(tCO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/TJ)</t>
    </r>
  </si>
  <si>
    <t>Net Calorific Value</t>
  </si>
  <si>
    <t>(TJ/Gg)</t>
  </si>
  <si>
    <t>EUconst_CNTR_HAL</t>
  </si>
  <si>
    <t>HAL_</t>
  </si>
  <si>
    <t>EUconst_CNTR_ELEXCH</t>
  </si>
  <si>
    <t>ELEXCH_</t>
  </si>
  <si>
    <t>http://ec.europa.eu/eurostat/ramon/nomenclatures/index.cfm?TargetUrl=LST_CLS_DLD&amp;StrNom=NACE_REV2&amp;StrLanguageCode=EN&amp;StrLayoutCode=HIERARCHIC</t>
  </si>
  <si>
    <t>EUconst_RatioRange</t>
  </si>
  <si>
    <t>EUconst_Manual</t>
  </si>
  <si>
    <t>EUconst_ERR_PartialCessation</t>
  </si>
  <si>
    <t>EUconst_ERR_FirstSub</t>
  </si>
  <si>
    <t>EUconst_ERR_NewSub</t>
  </si>
  <si>
    <t>Euconst_CessationReason</t>
  </si>
  <si>
    <t>EUconst_ConfirmCessation</t>
  </si>
  <si>
    <t>EUconst_ERR_CessationIteme</t>
  </si>
  <si>
    <t>EUconst_ERR_MandatoryDII3a</t>
  </si>
  <si>
    <t>EUconst_ERR_MandatoryEII4</t>
  </si>
  <si>
    <t>Jump indicator</t>
  </si>
  <si>
    <t>EUconst_MsgUseElExchTool</t>
  </si>
  <si>
    <t>EUconst_AbsRel</t>
  </si>
  <si>
    <t>EUconst_PFCmethods</t>
  </si>
  <si>
    <t>EUconst_tCO2pTJorT</t>
  </si>
  <si>
    <t>EUconst_ConfirmationNotEligible</t>
  </si>
  <si>
    <t>EUconst_ConfirmApplicationForAlloc</t>
  </si>
  <si>
    <t>EUconst_SubInstallation</t>
  </si>
  <si>
    <t>EUconst_ConnectedEntityTypes</t>
  </si>
  <si>
    <t>EUconst_ConnectionTypes</t>
  </si>
  <si>
    <t>EUconst_MsgNewEntrant</t>
  </si>
  <si>
    <t>(b)</t>
  </si>
  <si>
    <t>Column Index:</t>
  </si>
  <si>
    <t>3. If the list is too short, the list can be extended by inserting additional rows (not individual cells) BEFORE the "&lt;end of list&gt;" marker</t>
  </si>
  <si>
    <r>
      <t xml:space="preserve">4. As a final step it should be checked if the grey area is identical to the defined Name: </t>
    </r>
    <r>
      <rPr>
        <b/>
        <sz val="10"/>
        <color indexed="10"/>
        <rFont val="Arial"/>
        <family val="2"/>
      </rPr>
      <t>MSconst_FuelCategoryList</t>
    </r>
  </si>
  <si>
    <t>HAL99init_</t>
  </si>
  <si>
    <t>EUconst_HAL99initial</t>
  </si>
  <si>
    <t>EUconst_HAL99changed</t>
  </si>
  <si>
    <t>HAL99change_</t>
  </si>
  <si>
    <t>EUconst_HAL99total</t>
  </si>
  <si>
    <t>HAL99total_</t>
  </si>
  <si>
    <t>E.II.1.n !</t>
  </si>
  <si>
    <t>HAL99deltaC_</t>
  </si>
  <si>
    <t>EUconst_CNTR_HALspecial</t>
  </si>
  <si>
    <t>EUconst_BM</t>
  </si>
  <si>
    <t>EUconst_HCUFmissing</t>
  </si>
  <si>
    <t>No. of Activity</t>
  </si>
  <si>
    <t>EUconst_BaselinePeriods</t>
  </si>
  <si>
    <t>2005-2008</t>
  </si>
  <si>
    <t>2009-2010</t>
  </si>
  <si>
    <t>EUconst_HeatBMvalue</t>
  </si>
  <si>
    <t>EUconst_ElBM</t>
  </si>
  <si>
    <t>Message regarding special reporting</t>
  </si>
  <si>
    <t>EUconst_RelevantAmountPulp</t>
  </si>
  <si>
    <t>b</t>
  </si>
  <si>
    <t>EUconst_LatestChange</t>
  </si>
  <si>
    <t>StartDate_</t>
  </si>
  <si>
    <t>EUconst_StartDate</t>
  </si>
  <si>
    <t>EUconst_CNTR_CAPDelta</t>
  </si>
  <si>
    <t>EUconst_CNTR_HALAdded</t>
  </si>
  <si>
    <t>CAPDelta_</t>
  </si>
  <si>
    <t>HALAddded_</t>
  </si>
  <si>
    <t>CAP_</t>
  </si>
  <si>
    <t>EUconst_CNTR_CAP</t>
  </si>
  <si>
    <t>EUconst_ERR_40pct</t>
  </si>
  <si>
    <t>EUconst_182CUF</t>
  </si>
  <si>
    <t>CUF_</t>
  </si>
  <si>
    <t>NEW</t>
  </si>
  <si>
    <t>EUconst_ERR_Capacity1.1</t>
  </si>
  <si>
    <t>EUconst_ChangeType0</t>
  </si>
  <si>
    <t>EUconst_ConfirmAllowUseOfData</t>
  </si>
  <si>
    <t>min</t>
  </si>
  <si>
    <t>min / cell day</t>
  </si>
  <si>
    <t>-</t>
  </si>
  <si>
    <t>(kgCF4/tAl) / (min/cell-day)</t>
  </si>
  <si>
    <t>mV</t>
  </si>
  <si>
    <t>kg CF4 / (t Al mV)</t>
  </si>
  <si>
    <t>SE</t>
  </si>
  <si>
    <t>UK</t>
  </si>
  <si>
    <t>EUconst_CNTR_Check10Pct</t>
  </si>
  <si>
    <t>Activity list</t>
  </si>
  <si>
    <t>Make grey?</t>
  </si>
  <si>
    <t>EUconst_OK</t>
  </si>
  <si>
    <t>Check10Pct_</t>
  </si>
  <si>
    <t>EUconst_ERR_NoSignificantChange</t>
  </si>
  <si>
    <t>http://ec.europa.eu/eurostat/ramon/nomenclatures/index.cfm?TargetUrl=LST_CLS_DLD&amp;StrNom=NACE_1_1&amp;StrLanguageCode=EN&amp;StrLayoutCode=HIERARCHIC</t>
  </si>
  <si>
    <t>Umweltbundesamt</t>
  </si>
  <si>
    <t>NIMs baseline data</t>
  </si>
  <si>
    <t>Spain</t>
  </si>
  <si>
    <t>Sweden</t>
  </si>
  <si>
    <t>United Kingdom</t>
  </si>
  <si>
    <t>EUconst_MsgSeeFirst</t>
  </si>
  <si>
    <t>EUconst_MsgProceedF</t>
  </si>
  <si>
    <t>EUconst_MsgProceedEII2</t>
  </si>
  <si>
    <t>EUconst_MsgGoOn</t>
  </si>
  <si>
    <t>Adt</t>
  </si>
  <si>
    <t>EUconst_Inconsistent</t>
  </si>
  <si>
    <t>EUconst_tCO2pkNm3</t>
  </si>
  <si>
    <t>A.II.2.a-f !</t>
  </si>
  <si>
    <t>EUconst_PFCSource</t>
  </si>
  <si>
    <t>EUconst_TransfSource</t>
  </si>
  <si>
    <t>EUconst_GJpa</t>
  </si>
  <si>
    <t>Portugal</t>
  </si>
  <si>
    <t>Romania</t>
  </si>
  <si>
    <t>Slovakia</t>
  </si>
  <si>
    <t>Slovenia</t>
  </si>
  <si>
    <t>EUconst_WithinInst</t>
  </si>
  <si>
    <t>EUconst_HeatUseTypes</t>
  </si>
  <si>
    <t>EUconst_30DayOrCalendarMonth</t>
  </si>
  <si>
    <t>EUconst_NotEligible</t>
  </si>
  <si>
    <t>Column for</t>
  </si>
  <si>
    <t>EUconst_Allowances</t>
  </si>
  <si>
    <t>EUconst_MsgGoOn_d</t>
  </si>
  <si>
    <t>EUconst_MsgGoOnIfNotRelevant</t>
  </si>
  <si>
    <t>EUconst_Month</t>
  </si>
  <si>
    <t>EUconst_BMSubinst</t>
  </si>
  <si>
    <t>EUconst_ERR_DatesSorting</t>
  </si>
  <si>
    <t>EUconst_ERR_RangeOfStartingDate</t>
  </si>
  <si>
    <t>EUconst_ERR_InitialDateMissing</t>
  </si>
  <si>
    <t>Islandic</t>
  </si>
  <si>
    <t>is</t>
  </si>
  <si>
    <t>Norwegian</t>
  </si>
  <si>
    <t>no</t>
  </si>
  <si>
    <t>EUconst_relOrMWhpa</t>
  </si>
  <si>
    <t>EUconst_relOrtCO2pa</t>
  </si>
  <si>
    <t>A.</t>
  </si>
  <si>
    <t>B.</t>
  </si>
  <si>
    <t>C.</t>
  </si>
  <si>
    <t>D.</t>
  </si>
  <si>
    <t>I.</t>
  </si>
  <si>
    <t>J.</t>
  </si>
  <si>
    <t>EUconst_Incomplete</t>
  </si>
  <si>
    <t>EUconst_CapacityInitial</t>
  </si>
  <si>
    <t>CapacityInitial_</t>
  </si>
  <si>
    <t>EUconst_Relevant</t>
  </si>
  <si>
    <t>EUconst_NotRelevant</t>
  </si>
  <si>
    <t>lv</t>
  </si>
  <si>
    <t>Lithuanian</t>
  </si>
  <si>
    <t>lt</t>
  </si>
  <si>
    <t>Hungarian</t>
  </si>
  <si>
    <t>hu</t>
  </si>
  <si>
    <t>Maltese</t>
  </si>
  <si>
    <t>mt</t>
  </si>
  <si>
    <t>Dutch</t>
  </si>
  <si>
    <t>nl</t>
  </si>
  <si>
    <t>Polish</t>
  </si>
  <si>
    <t>pl</t>
  </si>
  <si>
    <t>Portuguese</t>
  </si>
  <si>
    <t>pt</t>
  </si>
  <si>
    <t>Romanian</t>
  </si>
  <si>
    <t>ro</t>
  </si>
  <si>
    <t>Slovak</t>
  </si>
  <si>
    <t>sk</t>
  </si>
  <si>
    <t>Slovenian</t>
  </si>
  <si>
    <t>sl</t>
  </si>
  <si>
    <t>Finnish</t>
  </si>
  <si>
    <t>fi</t>
  </si>
  <si>
    <t>Swedish</t>
  </si>
  <si>
    <t>sv</t>
  </si>
  <si>
    <t>Reference File Name</t>
  </si>
  <si>
    <t>COM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</si>
  <si>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</si>
  <si>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</si>
  <si>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</si>
  <si>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</si>
  <si>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</si>
  <si>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</si>
  <si>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</si>
  <si>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</si>
  <si>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</si>
  <si>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</si>
  <si>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</si>
  <si>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</si>
  <si>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</si>
  <si>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</si>
  <si>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</si>
  <si>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</si>
  <si>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</si>
  <si>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</si>
  <si>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</si>
  <si>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</si>
  <si>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</si>
  <si>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</si>
  <si>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</si>
  <si>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</si>
  <si>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</si>
  <si>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(g)</t>
  </si>
  <si>
    <t>Number of activity</t>
  </si>
  <si>
    <t>EUconst_ERR_ActivityMissing</t>
  </si>
  <si>
    <t>1.</t>
  </si>
  <si>
    <t>2.</t>
  </si>
  <si>
    <t>3.</t>
  </si>
  <si>
    <t>4.</t>
  </si>
  <si>
    <t>5.</t>
  </si>
  <si>
    <t>CITL-List</t>
  </si>
  <si>
    <t>EUconst_CNTR_PeriodGreenfield</t>
  </si>
  <si>
    <t>PeriodGreenfield_</t>
  </si>
  <si>
    <t>EUconst_ERR_Mandatory_Bbc</t>
  </si>
  <si>
    <t>EUconst_ERR_StartWithFuels</t>
  </si>
  <si>
    <t>EUconst_ERR_Goto_DI2</t>
  </si>
  <si>
    <t>EUconst_Fuel</t>
  </si>
  <si>
    <t>EUconst_ProcessSource</t>
  </si>
  <si>
    <t>EUconst_ApplicationType</t>
  </si>
  <si>
    <t>EUconst_ERR_Mandatory_ApplicationType</t>
  </si>
  <si>
    <t>EUconst_RCUFrange</t>
  </si>
  <si>
    <t>i.</t>
  </si>
  <si>
    <t>ii.</t>
  </si>
  <si>
    <t>iii.</t>
  </si>
  <si>
    <t>No.</t>
  </si>
  <si>
    <t>Type of entity</t>
  </si>
  <si>
    <t>EUconst_HCUF</t>
  </si>
  <si>
    <t>HCUF_</t>
  </si>
  <si>
    <t>Version list</t>
  </si>
  <si>
    <t>Languages list</t>
  </si>
  <si>
    <t>HALspecial_</t>
  </si>
  <si>
    <t>EUconst_HeatToolComplex</t>
  </si>
  <si>
    <t>EUconst_HeatToolSelection</t>
  </si>
  <si>
    <t>EUconst_FBSubinst</t>
  </si>
  <si>
    <t>EUconst_MsgEnterThisSection</t>
  </si>
  <si>
    <t>EUconst_MsgGoToNextSubInst</t>
  </si>
  <si>
    <t>EUconst_MsgBackToSheetF</t>
  </si>
  <si>
    <t>EUconst_HeatToolSimple</t>
  </si>
  <si>
    <t>EUconst_kNm3pa</t>
  </si>
  <si>
    <t>EUconst_TonnesOrkNm3pa</t>
  </si>
  <si>
    <t>EUconst_GJperTorKNm3</t>
  </si>
  <si>
    <t>GJ/1000Nm3</t>
  </si>
  <si>
    <t>EUconst_GJperUnit</t>
  </si>
  <si>
    <t>EUconst_HAL99unchanged</t>
  </si>
  <si>
    <t>HAL99unchanged_</t>
  </si>
  <si>
    <t>EUconst_RCUFmissing</t>
  </si>
  <si>
    <t>NER application</t>
  </si>
  <si>
    <t>Croatia</t>
  </si>
  <si>
    <t>HR</t>
  </si>
  <si>
    <t>Croatian</t>
  </si>
  <si>
    <t>hr</t>
  </si>
  <si>
    <t xml:space="preserve">http://eur-lex.europa.eu/LexUriServ/LexUriServ.do?uri=CONSLEG:2011D0278:20111117:EN:PDF </t>
  </si>
  <si>
    <t>DELETE</t>
  </si>
  <si>
    <t>(c)</t>
  </si>
  <si>
    <t>(e)</t>
  </si>
  <si>
    <t>(f)</t>
  </si>
  <si>
    <t>(a)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</si>
  <si>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</si>
  <si>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</si>
  <si>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</si>
  <si>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</si>
  <si>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</si>
  <si>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</si>
  <si>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</si>
  <si>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</si>
  <si>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</si>
  <si>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MSconst_RequireDetailedProductionData</t>
  </si>
  <si>
    <t>MSconst_RequireDetailesFallBack</t>
  </si>
  <si>
    <t>EUconst_RelevantNotRelevant</t>
  </si>
  <si>
    <t>EUconst_CLnonCL</t>
  </si>
  <si>
    <t>http://ec.europa.eu/clima/policies/ets/benchmarking/documentation_en.htm</t>
  </si>
  <si>
    <t>List of technical connections for drop-downlists:</t>
  </si>
  <si>
    <t>sorted line</t>
  </si>
  <si>
    <t>interim value</t>
  </si>
  <si>
    <t>Name of Transfer Entity</t>
  </si>
  <si>
    <t>EUconst_HAL99deltaC</t>
  </si>
  <si>
    <t>EUconst_HCUFrange</t>
  </si>
  <si>
    <t>0 &lt;= HCUF &lt;=1 !</t>
  </si>
  <si>
    <t>ausblenden</t>
  </si>
  <si>
    <t>EUconst_HouseholdReportMethods</t>
  </si>
  <si>
    <t>EUconst_MsgGoOn_cd</t>
  </si>
  <si>
    <t>EUconst_MsgGoOn_e</t>
  </si>
  <si>
    <t>(h)</t>
  </si>
  <si>
    <t>(i)</t>
  </si>
  <si>
    <t>EUconst_NA</t>
  </si>
  <si>
    <t>Fall-back Sub-Installation List</t>
  </si>
  <si>
    <t>Sub-inst</t>
  </si>
  <si>
    <t>TJ</t>
  </si>
  <si>
    <t>t CO2e</t>
  </si>
  <si>
    <t>EUconst_TJ</t>
  </si>
  <si>
    <t>EUconst_tCO2e</t>
  </si>
  <si>
    <t>Sorting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</si>
  <si>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</si>
  <si>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</si>
  <si>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</si>
  <si>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</si>
  <si>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</si>
  <si>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</si>
  <si>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</si>
  <si>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</si>
  <si>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</si>
  <si>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</si>
  <si>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</si>
  <si>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Iceland</t>
  </si>
  <si>
    <t>EUconst_CWTpa</t>
  </si>
  <si>
    <t>Draft II NIMs baseline data</t>
  </si>
  <si>
    <t>NIMs 2nd draft</t>
  </si>
  <si>
    <t>EUconst_MBSource</t>
  </si>
  <si>
    <t>EUconst_CEMSSource</t>
  </si>
  <si>
    <t>EUconst_N2OSource</t>
  </si>
  <si>
    <t>EUconst_PrivateHouseholds</t>
  </si>
  <si>
    <t>EUconst_CNTR_Check5Pct</t>
  </si>
  <si>
    <t>Check5Pct_</t>
  </si>
  <si>
    <t>EUconst_PulpPlacedOnMarket</t>
  </si>
  <si>
    <t>2006 IPCC Guidelines</t>
  </si>
  <si>
    <t>(except biomass)</t>
  </si>
  <si>
    <t>46.4</t>
  </si>
  <si>
    <t>n.a.</t>
  </si>
  <si>
    <t>MS Fuel Category list (Generic List is taken from MRG 2007 Annex I section 11 Table 4)</t>
  </si>
  <si>
    <t>&lt;END of list&gt;</t>
  </si>
  <si>
    <t>Please note: When this list is amended by the MS competent authority, the following technicalities are to be respected:</t>
  </si>
  <si>
    <t>1. the Grey area must be identical to the list which is to appear in the drop down list of sheet "SourceStreams" section I.x.a (x=Fuel number)</t>
  </si>
  <si>
    <t>2. No empty cells should be contained in the grey area (otherwise the operater can enter values which are not contained in the list)</t>
  </si>
  <si>
    <t>Benchmark List</t>
  </si>
  <si>
    <t>Activity (Annex I ETS Directive)</t>
  </si>
  <si>
    <t>No. of BM</t>
  </si>
  <si>
    <t>alternative BM No.</t>
  </si>
  <si>
    <t>Product benchmark</t>
  </si>
  <si>
    <t>Carbon leakage?</t>
  </si>
  <si>
    <t>Benchmark value (EUA/t)</t>
  </si>
  <si>
    <t>Exchangeability electricity</t>
  </si>
  <si>
    <t>CWT</t>
  </si>
  <si>
    <t>SIG_</t>
  </si>
  <si>
    <t>EUconst_CNTR_SIG</t>
  </si>
  <si>
    <t>EUconst_Households</t>
  </si>
  <si>
    <t>CNTR_Merger</t>
  </si>
  <si>
    <t>Installation</t>
  </si>
  <si>
    <t>Has Entry?</t>
  </si>
  <si>
    <t>NER Merger Split</t>
  </si>
  <si>
    <t>NE&amp;C MergerSplit</t>
  </si>
  <si>
    <t>CNTR_YearMergerSplit</t>
  </si>
  <si>
    <t>EUconst_ERR_Mandatory_c</t>
  </si>
  <si>
    <t>EUconst_ConfirmMergerSplit</t>
  </si>
  <si>
    <t>Sheet name:</t>
  </si>
  <si>
    <t>Hyperlink:</t>
  </si>
  <si>
    <t>First draft to DG CLIMA</t>
  </si>
  <si>
    <t>CNTR_HasEntries_A_II:</t>
  </si>
  <si>
    <t>cond. form.?</t>
  </si>
  <si>
    <t>First draft to TWG</t>
  </si>
  <si>
    <t>Second Draft</t>
  </si>
  <si>
    <t>EUconst_Days</t>
  </si>
  <si>
    <t>EUconst_Months</t>
  </si>
  <si>
    <t>EUconst_MergerSplitOrTransfer</t>
  </si>
  <si>
    <t>Rounding error?</t>
  </si>
  <si>
    <t>Identical?</t>
  </si>
  <si>
    <t>EUconst_ERR_Rounding</t>
  </si>
  <si>
    <t>ready for translation</t>
  </si>
  <si>
    <t>Section I has entries?</t>
  </si>
  <si>
    <t>HasError?</t>
  </si>
  <si>
    <t>BM Unit</t>
  </si>
  <si>
    <t>Final</t>
  </si>
  <si>
    <t>CNTR_MergerORSplitORTransfer</t>
  </si>
  <si>
    <t>Не е приложимо</t>
  </si>
  <si>
    <t>Абсолютни стойности</t>
  </si>
  <si>
    <t>Процентни стойности</t>
  </si>
  <si>
    <t>Единица мярка</t>
  </si>
  <si>
    <t>Месец</t>
  </si>
  <si>
    <t>Гориво</t>
  </si>
  <si>
    <t>Показател</t>
  </si>
  <si>
    <t>Източник на технологични емисии</t>
  </si>
  <si>
    <t>Компонент в масовия баланс</t>
  </si>
  <si>
    <t>Източник със система за непрекъснато измерване на емисиите (CEMS)</t>
  </si>
  <si>
    <t>Източник на N2O</t>
  </si>
  <si>
    <t>Източник на перфлуоровъглеводороди (PFC)</t>
  </si>
  <si>
    <t>Прехвърлени или съхранявани емисии</t>
  </si>
  <si>
    <t>Подинсталация с продуктов показател</t>
  </si>
  <si>
    <t>Подинсталация с непряко определяне на емисиите</t>
  </si>
  <si>
    <t>година</t>
  </si>
  <si>
    <t>тона</t>
  </si>
  <si>
    <t>или</t>
  </si>
  <si>
    <t>Инсталация в обхвата на Европейската схема за търговия с емисии (ЕСТЕ)</t>
  </si>
  <si>
    <t>Инсталация извън обхвата на Европейската схема за търговия с емисии (ЕСТЕ)</t>
  </si>
  <si>
    <t>Инсталация, произвеждаща азотна киселина</t>
  </si>
  <si>
    <t>Топлопреносна мрежа</t>
  </si>
  <si>
    <t>Измерима топлинна енергия</t>
  </si>
  <si>
    <t>отпадъчен газ</t>
  </si>
  <si>
    <t>прехвърлен СО2 (при улавяне и съхранение на СО2 — CCS)</t>
  </si>
  <si>
    <t>Топлинна енергия</t>
  </si>
  <si>
    <t>Получаване</t>
  </si>
  <si>
    <t>Подаване</t>
  </si>
  <si>
    <t>В рамките на инсталацията</t>
  </si>
  <si>
    <t>Производство на стоки</t>
  </si>
  <si>
    <t>механична енергия</t>
  </si>
  <si>
    <t>загряване</t>
  </si>
  <si>
    <t>охлаждане</t>
  </si>
  <si>
    <t>неизвестно</t>
  </si>
  <si>
    <t>CO2 (с поправка за отпадъчните газове)</t>
  </si>
  <si>
    <t xml:space="preserve">редукция на метални съединения </t>
  </si>
  <si>
    <t>отстраняване на примеси</t>
  </si>
  <si>
    <t xml:space="preserve">разлагане на карбонати </t>
  </si>
  <si>
    <t>химичен синтез</t>
  </si>
  <si>
    <t>въглеродосъдържащи материали</t>
  </si>
  <si>
    <t>редукция на оксиди на металоидни (т.е. полуметални) и на неметални елементи</t>
  </si>
  <si>
    <t xml:space="preserve">от значение в разглеждания случай </t>
  </si>
  <si>
    <t>без значение в разглеждания случай</t>
  </si>
  <si>
    <t>изтичане на въглерод</t>
  </si>
  <si>
    <t xml:space="preserve">не подлежи на риск от изтичане на въглерод </t>
  </si>
  <si>
    <t>квоти за емисии</t>
  </si>
  <si>
    <t>Операторът на инсталацията потвърждава, че настоящият доклад може да бъде използван от компетентните институции и от Европейската комисия.</t>
  </si>
  <si>
    <t>Метод А = Метод на база времетраенето на анодния ефект</t>
  </si>
  <si>
    <t>Метод В = Метод на база свръхнапрежението при анодния ефект</t>
  </si>
  <si>
    <t>Данни за базовата линия</t>
  </si>
  <si>
    <t>Дял от историческото равнище на активност (HAL) (G.I.2.k)</t>
  </si>
  <si>
    <t>непълно!</t>
  </si>
  <si>
    <t>отрицателна стойност!</t>
  </si>
  <si>
    <t>несъответствие!</t>
  </si>
  <si>
    <t>О.К.</t>
  </si>
  <si>
    <t>Липсва дата!</t>
  </si>
  <si>
    <t>Ръчно въвеждане!</t>
  </si>
  <si>
    <t>Не са въведени данни за историческия коефициент на използване на капацитета (HCUF)</t>
  </si>
  <si>
    <t>домакинства</t>
  </si>
  <si>
    <t>измерима топлинна енергия извън обхвата на Европейската схема за търговия с емисии (ЕСТЕ)</t>
  </si>
  <si>
    <t>Прост модул за топлинната енергия (E.II.1)</t>
  </si>
  <si>
    <t>Сложен модул за топлинната енергия (E.II.2)</t>
  </si>
  <si>
    <t>експериментално</t>
  </si>
  <si>
    <t>точка (а)</t>
  </si>
  <si>
    <t>Поне едно име на подинсталация е въведено повече от един път. Моля поправете!</t>
  </si>
  <si>
    <t>Трябва да въведете поне една подинсталация в раздели III.1 или III.2!</t>
  </si>
  <si>
    <t xml:space="preserve">Моля въведете за всеки вид подинсталация дали присъства в разглеждания случай или не! </t>
  </si>
  <si>
    <t>Моля, въведете информация по точки (b) и (с) по-горе!</t>
  </si>
  <si>
    <t>Моля въведете подробни данни за потока—източник, като започнете от раздел II по-долу!</t>
  </si>
  <si>
    <t>Моля, продължете да въвеждате сумарните емисии в раздел D.I.2 в работния лист (sheet) „D_Emissions“!</t>
  </si>
  <si>
    <t>Моля въведете също данни в раздел E.II.4!</t>
  </si>
  <si>
    <t>Моля въведете също данни в раздел D.II.3.a.!</t>
  </si>
  <si>
    <t xml:space="preserve">Подробни указания за въвеждането на данни в този модул могат да бъдат намерени в началото на модула. </t>
  </si>
  <si>
    <t>Моля, продължете в работен лист (sheet) „F_ProductBM“!</t>
  </si>
  <si>
    <t>Моля, продължете в раздел E.II.2</t>
  </si>
  <si>
    <t>Моля, продължете със следващите точки по-долу</t>
  </si>
  <si>
    <t>Моля, използвайте модула за заменяемост на електроенергия по-долу.</t>
  </si>
  <si>
    <t>Моля, продължете с точка (d) по-долу.</t>
  </si>
  <si>
    <t>Ако посоченото тук не присъства във Вашата инсталация, продължете със следващите точки.</t>
  </si>
  <si>
    <t>Датите трябва да бъдат подредени по възходящ ред!</t>
  </si>
  <si>
    <t>Първоначалната дата трябва да е след 30 юни 2011 г.!</t>
  </si>
  <si>
    <t>Всички дати трябва да са след 30 юни 2011 г.!</t>
  </si>
  <si>
    <t>Липсва първоначалната дата!</t>
  </si>
  <si>
    <t>Моля, въведете данни в този раздел!</t>
  </si>
  <si>
    <t>Моля, продължете със следващата подинсталация!</t>
  </si>
  <si>
    <t>Щракнете тук за връщане към работен лист (sheet) „F_ProductBM“</t>
  </si>
  <si>
    <t>Моля, продължете с въвеждането на данните по точки (с) и (d)!</t>
  </si>
  <si>
    <t>Моля, продължете с точка (e)!</t>
  </si>
  <si>
    <t>Трябва да се приложи член 9, параграф 6 от Решението относно изпълнителните мерки (ОИМ)!</t>
  </si>
  <si>
    <t>Моля, използвайте модула на приведените на база СО2 тонове (CWT) в работния лист (sheet) „ SpecialBM“ за изчисляване на историческите равнища на активност.</t>
  </si>
  <si>
    <t>Моля, използвайте модула за вар  в работния лист (sheet) „ SpecialBM“ за изчисляване на историческите равнища на активност.</t>
  </si>
  <si>
    <t>Моля, използвайте модула за  доломитна вар в работния лист (sheet) „ SpecialBM“ за изчисляване на историческите равнища на активност.</t>
  </si>
  <si>
    <t>Имайте предвид, че при съвместно производство на целулоза и хартия са в сила специални за този случай правила (член 10, параграф 7 от Решението относно изпълнителните мерки — ОИМ).</t>
  </si>
  <si>
    <t>Измеримата топлинна енергия, подавана на други инсталации следва да се третира като топлинна енергия от източници извън обхвата на Европейската схема за търговия с емисии (ЕСТЕ).</t>
  </si>
  <si>
    <t>Моля, използвайте модула за крекинг с водна пара в работния лист (sheet) „ SpecialBM“ за изчисляване на историческите равнища и на предварителното разпределение на квоти.</t>
  </si>
  <si>
    <t>Моля, използвайте модула за  етиленов оксид/етиленгликоли в работния лист (sheet) „ SpecialBM“ за изчисляване на историческите равнища на активност.</t>
  </si>
  <si>
    <t>Моля, използвайте модула за винилхлориден мономер (VCM) в работния лист (sheet) „SpecialBM“ за изчисляване на предварителното разпределение на квоти.</t>
  </si>
  <si>
    <t>Моля, използвайте модула за водород  в работния лист (sheet) „ SpecialBM“ за изчисляване на историческите равнища на активност.</t>
  </si>
  <si>
    <t>Моля, използвайте модула за  генераторен газ в работния лист (sheet) „ SpecialBM“ за изчисляване на историческите равнища на активност.</t>
  </si>
  <si>
    <t>Австрия</t>
  </si>
  <si>
    <t>Белгия</t>
  </si>
  <si>
    <t>България</t>
  </si>
  <si>
    <t>Кипър</t>
  </si>
  <si>
    <t>Чешката република</t>
  </si>
  <si>
    <t>Дания</t>
  </si>
  <si>
    <t>Естония</t>
  </si>
  <si>
    <t>Финландия</t>
  </si>
  <si>
    <t>Франция</t>
  </si>
  <si>
    <t>Германия</t>
  </si>
  <si>
    <t>Гърция</t>
  </si>
  <si>
    <t>Унгария</t>
  </si>
  <si>
    <t>Исландия</t>
  </si>
  <si>
    <t>Ирландия</t>
  </si>
  <si>
    <t>Италия</t>
  </si>
  <si>
    <t>Латвия</t>
  </si>
  <si>
    <t>Лихтенщайн</t>
  </si>
  <si>
    <t>Литва</t>
  </si>
  <si>
    <t>Люксембург</t>
  </si>
  <si>
    <t>Малта</t>
  </si>
  <si>
    <t>Нидерландия</t>
  </si>
  <si>
    <t>Норвегия</t>
  </si>
  <si>
    <t>Полша</t>
  </si>
  <si>
    <t>Португалия</t>
  </si>
  <si>
    <t>Румъния</t>
  </si>
  <si>
    <t>Словакия</t>
  </si>
  <si>
    <t>Словения</t>
  </si>
  <si>
    <t>Испания</t>
  </si>
  <si>
    <t>Швеция</t>
  </si>
  <si>
    <t>Обединеното кралство</t>
  </si>
  <si>
    <t>Изгаряне на горива в инсталации с обща номинална входяща топлинна мощност над 20 MW (с изключение на инсталациите за изгаряне на опасни или твърди битови отпадъци)</t>
  </si>
  <si>
    <t xml:space="preserve">Рафиниране на минерални масла </t>
  </si>
  <si>
    <t xml:space="preserve">Производство на кокс </t>
  </si>
  <si>
    <t xml:space="preserve">Пържене и агломерация, включително гранулиране, на метална руда (включително сулфидна руда) </t>
  </si>
  <si>
    <t xml:space="preserve">Производство на чугун или стомана (първично или вторично стапяне), включително непрекъснато леене с капацитет над 2,5 тона за час </t>
  </si>
  <si>
    <t xml:space="preserve">Производство или преработка на черни метали (включително феросплави) в случай на използване на горивни съоръжения с обща номинална входяща топлинна мощност над 20 MW. Преработката включва, наред с други съоръжения, използването на прокатни станове, междинни подгреватели, пещи за отвръщане, ковашки цехове, леярни, цехове за нанасяне на покритие и байцване </t>
  </si>
  <si>
    <t xml:space="preserve">Производство на първичен алуминий </t>
  </si>
  <si>
    <t>Производство на вторичен алуминий при използването на горивни съоръжения с обща номинална входяща топлинна мощност над 20 MW</t>
  </si>
  <si>
    <t>Производство или преработка на цветни метали, включително производство на сплави, рафиниране, леене и др., в случай на използване на горивни съоръжения с обща номинална входяща топлинна мощност (включително горивата, използвани като редуциращи агенти) над 20 MW</t>
  </si>
  <si>
    <t xml:space="preserve">Производство на циментен клинкер в ротационни пещи с производствен капацитет над 500 тона дневно или в други пещи с производствен капацитет над 50 тона дневно </t>
  </si>
  <si>
    <t xml:space="preserve">Производство на вар или калциниране на доломит или магнезит в ротационни или други пещи с производствен капацитет над 50 тона дневно </t>
  </si>
  <si>
    <t xml:space="preserve">Производство на стъкло, включително стъклени влакна, с капацитет на топене над 20 тона дневно </t>
  </si>
  <si>
    <t xml:space="preserve">Изработване на керамични продукти чрез изпичане, по-конкретно покривни керемиди, тухли, огнеупорни тухли, плочи, каменинови или порцеланови изделия, с производствен капацитет над 75 тона дневно </t>
  </si>
  <si>
    <t xml:space="preserve">Производство на изолационни материали от минерална или стъклена вата с използване на стъкло, камък или шлака, с капацитет на топене над 20 тона дневно </t>
  </si>
  <si>
    <t xml:space="preserve">Сушене или калциниране на гипс или производство на гипсови плоскости и други продукти от гипс, в случай на използване на горивни съоръжения с обща номинална входяща топлинна мощност над 20 MW </t>
  </si>
  <si>
    <t xml:space="preserve">Производство на целулоза от дървесина или от други влакнести материали </t>
  </si>
  <si>
    <t xml:space="preserve">Производство на хартия или картон с производствен капацитет над 20 тона дневно </t>
  </si>
  <si>
    <t xml:space="preserve">Производство на технически въглен с карбонизиране на органични вещества. като масла, катрани, остатъци от крекинг и дестилация, в случай на използване на съоръжения с обща номинална входяща топлинна мощност над 20 MW </t>
  </si>
  <si>
    <t xml:space="preserve">Производство на азотна киселина </t>
  </si>
  <si>
    <t xml:space="preserve">Производство на адипинова киселина </t>
  </si>
  <si>
    <t>Производство на глиоксал и глиоксилова киселина</t>
  </si>
  <si>
    <t xml:space="preserve">Производство на амоняк </t>
  </si>
  <si>
    <t xml:space="preserve"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t>
  </si>
  <si>
    <t xml:space="preserve">Производство на водород (H2) и синтетичен газ чрез реформинг или частично окисляване, с производствен капацитет над 25 тона дневно </t>
  </si>
  <si>
    <t xml:space="preserve">Производство на калцинирана сода (Na2CO3) и на натриев бикарбонат (NaHCO3) </t>
  </si>
  <si>
    <t>Улавяне на парникови газове от инсталации, попадащи в обхвата на Директивата за Европейската схема за търговия с емисии, с цел пренос и съхранение в геоложки обекти, за които е издадено съответно разрешение съгласно Директива 2009/31/ЕО</t>
  </si>
  <si>
    <t>Пренос на парникови газове чрез тръбопроводи с цел съхранение в геоложки обекти, за които е издадено съответно разрешение съгласно Директива 2009/31/ЕО</t>
  </si>
  <si>
    <t>Съхранение на парникови газове в геоложки обекти, за които е издадено съответно разрешение съгласно Директива 2009/31/ЕО</t>
  </si>
  <si>
    <t>Нефтохимически продукти</t>
  </si>
  <si>
    <t>Кокс</t>
  </si>
  <si>
    <t>Агломерат</t>
  </si>
  <si>
    <t>Течни черни метали (hot metal)</t>
  </si>
  <si>
    <t>Въглеродна стомана от електродъговa пещ</t>
  </si>
  <si>
    <t>Високолегирана стомана от електродъговa пещ</t>
  </si>
  <si>
    <t>Леене на чугун</t>
  </si>
  <si>
    <t>Предварително изпечен анод</t>
  </si>
  <si>
    <t>[Първичен] алуминий</t>
  </si>
  <si>
    <t>Клинкер за сив цимент</t>
  </si>
  <si>
    <t>Клинкер за бял цимент</t>
  </si>
  <si>
    <t>Вар</t>
  </si>
  <si>
    <t>Доломитна вар</t>
  </si>
  <si>
    <t>Синтерована доломитна вар</t>
  </si>
  <si>
    <t>Флоатно стъкло</t>
  </si>
  <si>
    <t>Бутилки и буркани от безцветно стъкло</t>
  </si>
  <si>
    <t>Бутилки и буркани от цветно стъкло</t>
  </si>
  <si>
    <t>Продукти от стъклени влакна с непрекъсната нишка</t>
  </si>
  <si>
    <t>Oблицовъчни тухли</t>
  </si>
  <si>
    <t>Настилъчни тухли</t>
  </si>
  <si>
    <t>Керемиди</t>
  </si>
  <si>
    <t>Изсушени чрез пулверизация прахообразни материали</t>
  </si>
  <si>
    <t>Минерална/стъклена вата</t>
  </si>
  <si>
    <t>Гипсови материали</t>
  </si>
  <si>
    <t>Изсушен вторичен гипс</t>
  </si>
  <si>
    <t>Гипсови плоскости (гипсокартон)</t>
  </si>
  <si>
    <t>Късовлакнеста сулфатна целулоза</t>
  </si>
  <si>
    <t>Дълговлакнеста сулфатна целулоза</t>
  </si>
  <si>
    <t>Сулфитна целулоза, термо-механична и механична целулоза</t>
  </si>
  <si>
    <t>Показател за целулоза от вторично използвана хартия (recovered paper pulp)</t>
  </si>
  <si>
    <t>Вестникарска хартия</t>
  </si>
  <si>
    <t>Непокрита висококачествена хартия (uncoated fine paper)</t>
  </si>
  <si>
    <t>Висококачествена покрита хартия (coated fine paper)</t>
  </si>
  <si>
    <t>Хартия тип тишу</t>
  </si>
  <si>
    <t>Хартия за външни гладки пластове на велпапе (testliner) и хартия за навълняване (fluting)</t>
  </si>
  <si>
    <t>Непокрит картон</t>
  </si>
  <si>
    <t>Покрит картон</t>
  </si>
  <si>
    <t>Технически въглерод (carbon black)</t>
  </si>
  <si>
    <t>Азотна киселина</t>
  </si>
  <si>
    <t>Адипинова киселина</t>
  </si>
  <si>
    <t>Амоняк</t>
  </si>
  <si>
    <t>Крекинг с водна пара</t>
  </si>
  <si>
    <t>Ароматни съединения</t>
  </si>
  <si>
    <t>Стирен</t>
  </si>
  <si>
    <t>Фенол/ацетон</t>
  </si>
  <si>
    <t>Етиленов оксид/ етиленгликоли</t>
  </si>
  <si>
    <t>Винилхлориден мономер</t>
  </si>
  <si>
    <t>Суспензионен поливинилхлорид (S-PVC)</t>
  </si>
  <si>
    <t>Емулсионен поливинилхлорид (E-PVC)</t>
  </si>
  <si>
    <t>Водород</t>
  </si>
  <si>
    <t>Генераторен газ (synthesis gas)</t>
  </si>
  <si>
    <t>Калцинирана сода</t>
  </si>
  <si>
    <t>Подинсталация с топлинен показател, с риск от изтичане на въглерод</t>
  </si>
  <si>
    <t>Подинсталация с топлинен показател, без риск от изтичане на въглерод</t>
  </si>
  <si>
    <t>Подинсталация с горивен показател, с риск от изтичане на въглерод</t>
  </si>
  <si>
    <t>Подинсталация с горивен показател, без риск от изтичане на въглерод</t>
  </si>
  <si>
    <t>Подинсталация с технологични емисии, с риск от изтичане на въглерод</t>
  </si>
  <si>
    <t>Подинсталация с технологични емисии, без риск от изтичане на въглерод</t>
  </si>
  <si>
    <t>Суров нефт</t>
  </si>
  <si>
    <t>Оримулсион (емулсия на битум във вода)</t>
  </si>
  <si>
    <t>Етанови, пропанови и бутанови продукти на база природен газ (Natural Gas Liquids)</t>
  </si>
  <si>
    <t>Бензин за двигатели</t>
  </si>
  <si>
    <t>Керосин</t>
  </si>
  <si>
    <t>Авиационен бензин</t>
  </si>
  <si>
    <t>Бензин за реактивни двигатели (Jet B)</t>
  </si>
  <si>
    <t>Керосин за реактивни двигатели (jet A1 или jet A)</t>
  </si>
  <si>
    <t>Шистов нефт</t>
  </si>
  <si>
    <t>Газьол/Дизелово гориво</t>
  </si>
  <si>
    <t>Мазут</t>
  </si>
  <si>
    <t>Втечнени нефтени газове</t>
  </si>
  <si>
    <t>Етан</t>
  </si>
  <si>
    <t>Бензин за нефтохимията</t>
  </si>
  <si>
    <t>Битум</t>
  </si>
  <si>
    <t>Смазочни масла</t>
  </si>
  <si>
    <t>Нефтен кокс</t>
  </si>
  <si>
    <t>Суровини за нефтопреработвателните заводи</t>
  </si>
  <si>
    <t>Нефтозаводски газ</t>
  </si>
  <si>
    <t>Парафинови восъци</t>
  </si>
  <si>
    <t>Уайтспирт (минерален терпентин) &amp; промишлен спирт (SBP)</t>
  </si>
  <si>
    <t>Други нефтопродукти</t>
  </si>
  <si>
    <t>Антрацитни въглища</t>
  </si>
  <si>
    <t>Коксуващи се въглища</t>
  </si>
  <si>
    <t>Други видове черни въглища</t>
  </si>
  <si>
    <t>Кафяви въглища</t>
  </si>
  <si>
    <t>Лигнитни въглища</t>
  </si>
  <si>
    <t>Нефтошисти и катранени пясъци</t>
  </si>
  <si>
    <t>Брикети от черни или кафяви въглища (Patent Fuel)</t>
  </si>
  <si>
    <t>Кокс за косова пещ &amp; лигнитен кокс</t>
  </si>
  <si>
    <t>Кокс, получен при производстввото на генераторен газ</t>
  </si>
  <si>
    <t>Каменовъглен катран</t>
  </si>
  <si>
    <t>Генераторен газ</t>
  </si>
  <si>
    <t>Коксов газ</t>
  </si>
  <si>
    <t>Доменен газ</t>
  </si>
  <si>
    <t>Газ от кислородни конвертори</t>
  </si>
  <si>
    <t>Природен газ</t>
  </si>
  <si>
    <t>Промишлени отпадъци</t>
  </si>
  <si>
    <t>отпадъчни масла</t>
  </si>
  <si>
    <t>Торф</t>
  </si>
  <si>
    <t>Дървесина/дървесни отпадъци</t>
  </si>
  <si>
    <t>Друга първична твърда биомаса</t>
  </si>
  <si>
    <t>Дървени въглища</t>
  </si>
  <si>
    <t>Биобензин</t>
  </si>
  <si>
    <t>Биодизелови горива</t>
  </si>
  <si>
    <t>други течни биогорива</t>
  </si>
  <si>
    <t>Сметищен газ</t>
  </si>
  <si>
    <t>Газ от пречиствателни станции</t>
  </si>
  <si>
    <t>Други видове биогаз</t>
  </si>
  <si>
    <t>Отпадъчни автомобилни гуми</t>
  </si>
  <si>
    <t>Въглероден оксид</t>
  </si>
  <si>
    <t>Метан</t>
  </si>
  <si>
    <t>Навигационно меню:</t>
  </si>
  <si>
    <t>Следващ работен лист (sheet)</t>
  </si>
  <si>
    <t>Обобщение</t>
  </si>
  <si>
    <t>Начало на работния лист</t>
  </si>
  <si>
    <t>Край на работния лист</t>
  </si>
  <si>
    <t>СЪДЪРЖАНИЕ</t>
  </si>
  <si>
    <t>Езикова версия:</t>
  </si>
  <si>
    <t>Референтно име на файла:</t>
  </si>
  <si>
    <t>Информация за този файл:</t>
  </si>
  <si>
    <t>Име на инсталацията:</t>
  </si>
  <si>
    <t>Уникален идентификатор на инсталацията:</t>
  </si>
  <si>
    <t>Ако съответният компетентен орган изисква да предадете подписано хартиено копие от мониторинговия доклад, използвайте мястото по-долу за подпис:</t>
  </si>
  <si>
    <t>Дата</t>
  </si>
  <si>
    <t xml:space="preserve">Име и подпис на 
юридически отговорно лице </t>
  </si>
  <si>
    <t>Съдържание</t>
  </si>
  <si>
    <t>Предишен работен лист (sheet)</t>
  </si>
  <si>
    <t>УКАЗАНИЯ И УСЛОВИЯ</t>
  </si>
  <si>
    <t>Обща информация за настоящия модел</t>
  </si>
  <si>
    <t>http://eur-lex.europa.eu/LexUriServ/LexUriServ.do?uri=CONSLEG:2007D0076:20090625:BG:PDF</t>
  </si>
  <si>
    <t>Как да се използва настоящият файл:</t>
  </si>
  <si>
    <t>При докладване на нулева стойност би следвало тя да бъде въведена, а не клетката да се оставя празна. Ако дадена клетка остане празна, компетентният орган няма да знае точно дали съответната стойност е пропусната при докладването, дали отсъства, защото няма отношение към разглеждания случай или дали стойността ѝ е неизвестна. Необходимите за изчисленията стойности трябва винаги да се въвеждат (особено ако са нулеви стойности — защото някои от формулите не дават резултати, в случай че съответните клетки са празни).</t>
  </si>
  <si>
    <t>В редица полета можете да избирате между предварително зададени входящи данни. За да избирате от такъв „падащ списък“, или щракнете с мишката върху малката стрелка, която се появява при дясната граница на клетката, или, когато сте избрали клетката, натиснете „Alt-стрелка надолу“. Някои полета Ви дават възможност да въвеждате Ваш собствен текст, дори и ако имат такъв падащ списък. В този случай падащите списъци съдържат в себе си празни позиции.</t>
  </si>
  <si>
    <t>При непълно въведени данни понякога се появяват съобщения за грешка. Липсата на такова съобщение, обаче, не представлява гаранция за правилни изчисления, тъй като не винаги е възможно да се провери пълнотата на въведените данни. Ако в зеленото поле не се появи резултат, може да се предположи, че някои данни все още липсват.</t>
  </si>
  <si>
    <t>Обръщайте специално внимание на съответствието на данните с означените мерни единици.</t>
  </si>
  <si>
    <t>Съобщенията за грешки са често много кратки поради ограниченото място. Най-важните от тях са:</t>
  </si>
  <si>
    <t>Означава, че данните са недостатъчни за изчислението (например липсва емисионен фактор за някоя от годините)</t>
  </si>
  <si>
    <t>Избраните мерни единици са несъответстващи и изчисленията на база съответните входни данни ще дадат неверни резултати.</t>
  </si>
  <si>
    <t>Въведете данни в A.III.3 !</t>
  </si>
  <si>
    <t>Това са препратки към раздели от документа. Съобщението означава, че в посочените раздели липсват данни.</t>
  </si>
  <si>
    <t>Цветови кодове и шрифтове:</t>
  </si>
  <si>
    <t>Черен удебелен текст:</t>
  </si>
  <si>
    <t>Това е текст, описващ необходимото въвеждане на входни данни.</t>
  </si>
  <si>
    <t>Дребен текст в курсив:</t>
  </si>
  <si>
    <t xml:space="preserve">С такъв вид текст са дадени допълнителни пояснения. </t>
  </si>
  <si>
    <t>Жълтите полета означават, че въвеждането на съответните данни е задължително. Но в случай че съответният въпрос няма отношение към инсталацията, не се изисква въвеждане на входни данни.</t>
  </si>
  <si>
    <t>Светложълтите полета означават, че въвеждането на входни данни не е задължително.</t>
  </si>
  <si>
    <t>Зеленият цвят на полетата показва, че в тях има автоматично изчислени резултати. Червеният текст е използван за съобщения за грешка (липсващи данни и др.).</t>
  </si>
  <si>
    <t>Затъмняването на полета показва, че в тях не следва да се въвеждат данни — поради наличието на въведени данни в друго поле.</t>
  </si>
  <si>
    <t>Засивените зони следва да бъдат попълнени от държавите членки, преди да публикуват специфична за тях версия на формуляра.</t>
  </si>
  <si>
    <t>Светло сивите зони са предназначени за придвижване и хипервръзки.</t>
  </si>
  <si>
    <t>В зоните с команди за придвижване, намиращи се най-отгоре на всеки работен лист (sheet) има хиперлинкове, даващи възможност за бързо прескачане в конкретни раздели за въвеждане на данни.   Първият ред в тях („Съдържание“, „Предишен работен лист“, „Следващ работен лист“, „Обобщение“), както и точките „Начало на работния лист“ и „Край на работния лист“ са едни и същи във всички работни листове.  В зависимост от конкретния работен лист, добавени са и допълнителни функции. Ако цветът на фона на някоя от зоните за хиперлинк почервенее, това показва че липсват данни в съответния раздел (не във всички работни листове).</t>
  </si>
  <si>
    <t>Настоящият формуляр е заключен, за да се забрани въвеждане на данни на други места освен в жълтите полета. Все пак в интерес на прозрачността не е зададена парола. Това дава възможност да се видят всички формули. Препоръчително е при въвеждането на данни в настоящия файл защитата да остава включена. Снемане на защитата от работните листове би могло да се прави само при проверка на валидността на формулите. Препоръчително е това да се прави с отделен файл.</t>
  </si>
  <si>
    <t>С цел защита на формулите от неволни изменения, които обикновено водят до грешни и заблуждаващи резултати, 
от първостепенна важност е ДА НЕ СЕ ИЗПОЛЗВАТ ФУНКЦИИТЕ ОТРЯЗВАНЕ И ПОСТАВЯНЕ (CUT &amp; PASTE).
Ако искате да преместите данни, първо ги КОПИРАЙТЕ (COPY) и ПОСТАВЕТЕ (PASTE), а след това изтрийте нежеланите данни от старото им (погрешно) място.</t>
  </si>
  <si>
    <t>Полета за данни не са оптимизирани за числени и други формати. Но от друга страна, защитата на работните листове е ограничена, така че да имате възможност да използвате свои собствени формати. По-специално, може да изберете броя на показваните знаци след десетичната точка.  По принцип броят на тези знаци е независим от точността на изчислението. По принцип следва да бъде деактивирана опцията на Майкрософт Ексел „Точност съгласно показваното“.   За по-подробна информация вижте съответната точка от функцията „Помощ“ („Help“) на Майкрософт Ексел.</t>
  </si>
  <si>
    <t>Специфична информация за съответната държава-членка</t>
  </si>
  <si>
    <t>Настоящият доклад трябва да бъде представен на съответния компетентен орган на следния адрес:</t>
  </si>
  <si>
    <t>Източници на информация:</t>
  </si>
  <si>
    <t>Уебсайтове на ЕС:</t>
  </si>
  <si>
    <t>Законодателство на ЕС:</t>
  </si>
  <si>
    <t>http://eur-lex.europa.eu/bg/index.htm</t>
  </si>
  <si>
    <t>Европейска схема за търговия с емисии – обща информация:</t>
  </si>
  <si>
    <t>Други уебсайтове:</t>
  </si>
  <si>
    <t>Хелпдеск:</t>
  </si>
  <si>
    <t>Допълнителни указания, дадени от държавата-членка:</t>
  </si>
  <si>
    <t>&lt;&lt;&lt;Щракнете тук за да продължите към следващия работен лист (sheet)&gt;&gt;&gt;</t>
  </si>
  <si>
    <t>А.
Данни за инсталацията</t>
  </si>
  <si>
    <t>Идентификация на инсталацията</t>
  </si>
  <si>
    <t>Съответствие с условията за безплатно разпределяне</t>
  </si>
  <si>
    <t>Технически връзки</t>
  </si>
  <si>
    <t>Обща информация:</t>
  </si>
  <si>
    <t>Наименование на инсталацията:</t>
  </si>
  <si>
    <t>Това наименование следва да бъде същото като вече използваното в кореспонденцията с компетентния орган.</t>
  </si>
  <si>
    <t>Държава-членка, в която се намира инсталацията:</t>
  </si>
  <si>
    <t>Била ли е инсталацията включена в Европейската схема за търговия с емисии по-рано?</t>
  </si>
  <si>
    <t>Уникален идентификационен номер, даден от компетентния орган:</t>
  </si>
  <si>
    <t xml:space="preserve">Компетентните органи трябва да осигурят наличието на уникален идентификационен преди да съобщават каквито и да са данни на Европейската комисия. </t>
  </si>
  <si>
    <t>Идентификационен код на инсталацията в регистъра:</t>
  </si>
  <si>
    <t>Това обикновено е цяло положително число, т.е. представлява код, различен от номера на разрешителното в регистъра.</t>
  </si>
  <si>
    <t>Предложете уникален идентификационен номер за целите на представяне на данните на Комисията:</t>
  </si>
  <si>
    <t>Информация за разрешителното за емисии на парникови газове:</t>
  </si>
  <si>
    <t>Наименование на компетентния орган:</t>
  </si>
  <si>
    <t>Първо разрешително за емисии на парникови газове, получено когато инсталацията е била включена в Европейската схема за търговия с емисии за пръв път:</t>
  </si>
  <si>
    <t>Идентификационен номер на разрешителното:</t>
  </si>
  <si>
    <t>Дата на издаване:</t>
  </si>
  <si>
    <t>Данни за оператора на инсталацията:</t>
  </si>
  <si>
    <t>Операторът е [физическото или юридическо] лице, което експлоатира дадената инсталация или осъществява контрол върху дейността ѝ или, в случаите, когато това се предвижда от националното законодателство, такова лице, на което е предоставена решаваща икономическа власт върху техническата експлоатация на инсталацията.</t>
  </si>
  <si>
    <t>Име на оператора:</t>
  </si>
  <si>
    <t>Улица и номер:</t>
  </si>
  <si>
    <t>Пощенски код:</t>
  </si>
  <si>
    <t>Град:</t>
  </si>
  <si>
    <t>Държава:</t>
  </si>
  <si>
    <t>Име на упълномощен представител:</t>
  </si>
  <si>
    <t>Електронна поща:</t>
  </si>
  <si>
    <t>Телефон:</t>
  </si>
  <si>
    <t>Факс:</t>
  </si>
  <si>
    <t>Адрес на инсталацията:</t>
  </si>
  <si>
    <t>Лица за контакти:</t>
  </si>
  <si>
    <t>Моля, посочете тук лицата, към които компетентният орган може да се обърне, в случай че възникнат въпроси относно настоящия доклад, включително относно неговата верификация.</t>
  </si>
  <si>
    <t>Първо лице за контакти по технически въпроси във връзка с данните за инсталацията:</t>
  </si>
  <si>
    <t>Име:</t>
  </si>
  <si>
    <t>Алтернативно лице за контакти:</t>
  </si>
  <si>
    <t>Следващи данни за инсталацията:</t>
  </si>
  <si>
    <t>Дейности съгласно Приложение I на Директивата за Европейската схема за търговия с емисии:</t>
  </si>
  <si>
    <t xml:space="preserve">Доколкото е възможно, моля подредете списъка по реда на размера на преките емисии, започвайки с дейността, водеща до най-големи преки емисии  </t>
  </si>
  <si>
    <t>Номер</t>
  </si>
  <si>
    <t>Наименование на дейността (съгласно Приложение I на Директивата за Европейската схема за търговия с емисии):</t>
  </si>
  <si>
    <t>По кой код от Статистическата класификация на икономическите дейности в ЕС (NACE code) Вашата фирма е докладвала съответна добавена стойност за целите на структурната икономическа статистика?</t>
  </si>
  <si>
    <t>Ако не сте сигурни какви данни да въведете тук, моля запитайте съответната национален статистически институт.</t>
  </si>
  <si>
    <t xml:space="preserve">Версията NACE rev 1.1 може да бъде намерена на следния уебсайт: </t>
  </si>
  <si>
    <t xml:space="preserve">Версията NACE rev 2.0 може да бъде намерена на следния уебсайт: </t>
  </si>
  <si>
    <t>Кодовете по NACE следва да бъдат въведени в четирицифрен формат „nnnn“, т.е. без всякакви точки или други разделителни знаци.</t>
  </si>
  <si>
    <t>Ако не въведете четирите цифри в правилния формат, ще получите съобщение за грешка.</t>
  </si>
  <si>
    <t>Код по NACE, докладван за 2007 г., в съответствие с класификацията NACE rev 1.1:</t>
  </si>
  <si>
    <t>Код по NACE, докладван за 2010 г., в съответствие с класификацията NACE rev 2:</t>
  </si>
  <si>
    <t>Моля, посочете идентификационния код в EPRTR, ако това е приложимо:</t>
  </si>
  <si>
    <t>EPRTR е Европейският регистър за изпускане и пренос на замърсители.</t>
  </si>
  <si>
    <t>Тази информация е полезна за компетентните власти във връзка с проверките на съответствието и взаимната съгласуваност на източниците на екологична информация.</t>
  </si>
  <si>
    <t>Съгласие за използване на съдържащите се в настоящия файл данни:</t>
  </si>
  <si>
    <t>Инсталации, които се експлоатират само в отделни случаи:</t>
  </si>
  <si>
    <t xml:space="preserve">Това се отнася по-специално за инсталациите, държани като резервна мощност или в готовност за работа, както и за инсталациите със сезонен график на работа. </t>
  </si>
  <si>
    <t>Условия:</t>
  </si>
  <si>
    <t>трябва да бъде ясно показано, че съответната инсталация се използва само в отделни случаи — по-специално, че редовно се експлоатира в режим на готовност или като резервна мощност, или че редовно се експлоатира по сезонен график;</t>
  </si>
  <si>
    <t>инсталацията трябва да е обхваната от разрешително за емисии на парникови газове и от всички останали разрешителни по националната нормативна уредба на държавата-членка, необходими за експлоатация на инсталацията;</t>
  </si>
  <si>
    <t>технически е възможно работата на инсталацията да започне в най-кратък срок и съответните ремонтни дейности се провеждат редовно.</t>
  </si>
  <si>
    <t>Моля потвърдете тук, че Вашата инсталация съответства на посочените критерии:</t>
  </si>
  <si>
    <t>№</t>
  </si>
  <si>
    <t>Подинсталация</t>
  </si>
  <si>
    <t>Списък на техническите връзки</t>
  </si>
  <si>
    <t>Моля, въведете тук информацията, необходима за определяне на техническите връзки на Вашата инсталация:</t>
  </si>
  <si>
    <t>Тази информация е необходима на компетентния орган за осигуряване на съответствието на подадените данни, както и за недопускане на двойно отчитане на данни във връзка с предоставянето на емисии.</t>
  </si>
  <si>
    <t>Имат значение само тези случаи, при които през границите на инсталацията преминава или измерима топлинна енергия, или отпадъчни газове или CO2 във връзка с дейности за улавяне и съхранение на CO2.</t>
  </si>
  <si>
    <t>„Входящ поток“ („Import“) означава, че нещо влиза в границите на разглежданата инсталация, „изходящ поток“ („export“) означава, че нещо излиза от тях.</t>
  </si>
  <si>
    <t>В колоната „Вид на обекта“ може да изберете между следните възможности:</t>
  </si>
  <si>
    <t>Специален случай: Производство на азотна киселина:</t>
  </si>
  <si>
    <t>Ако Вашата инсталация използва топлина от производството на азотна киселина, моля изберете тази опция.</t>
  </si>
  <si>
    <t>Моля да отбележите този факт дори и ако производството на азотна киселина става в рамките на Вашата инсталация, а не само ако Вашата инсталация е свързана с подобна инсталация.</t>
  </si>
  <si>
    <t>Тази информация има значение за топлинния баланс (работен лист „E_EnergyFlows“, Раздел II</t>
  </si>
  <si>
    <t>Опциите за видове връзки са:</t>
  </si>
  <si>
    <t>Опциите за посока на потоците са (от гледна точка на разглежданата инсталация):</t>
  </si>
  <si>
    <t>Входящ поток (към разглежданата инсталация)</t>
  </si>
  <si>
    <t>Изходящ поток (от разглежданата инсталация)</t>
  </si>
  <si>
    <t>Наименование на инсталацията или обекта</t>
  </si>
  <si>
    <t>Вид на обекта</t>
  </si>
  <si>
    <t>Вид връзка</t>
  </si>
  <si>
    <t>Посока на потока</t>
  </si>
  <si>
    <t>Моля въведете тук допълнителна информация относно тези свързани инсталации, ако това е необходимо:</t>
  </si>
  <si>
    <t xml:space="preserve">За обекти, които не попадат в обхвата на Европейската схема за търговия с емисии посочването на данни за контакт, е задължително, но не се изисква идентификационният код в Независимия регистър на транзакциите в Общността (CITL) </t>
  </si>
  <si>
    <t>Идентификационен код в Независимия регистър на трансакциите в Общността (CITL)</t>
  </si>
  <si>
    <t>Име на лицето за контакти</t>
  </si>
  <si>
    <t>електронна поща</t>
  </si>
  <si>
    <t>телефонен номер</t>
  </si>
  <si>
    <t>I. 
Специфични данни, изисквани от отделните държави-членки)</t>
  </si>
  <si>
    <t>Работен лист „MSspecific“ (Данни специфични за ДЧ)— ДОПЪЛНИТЕЛНИ ДАННИ, ИЗИСКВАНИИ ОТ ДЪРЖАВАТА-ЧЛЕНКА)</t>
  </si>
  <si>
    <t>Определя се от държавата-членка</t>
  </si>
  <si>
    <t>J. 
Comments (Коментари)</t>
  </si>
  <si>
    <t>Работен лист „Comments“ (Коментари) — КОМЕНТАРИ И ДОПЪЛНИТЕЛНА ИНФОРМАЦИЯ</t>
  </si>
  <si>
    <t>Придружителни документи към настоящия доклад</t>
  </si>
  <si>
    <t>Тук избройте всички документи, подадени заедно с настоящия доклад</t>
  </si>
  <si>
    <t>В подкрепа на настоящия доклад са необходими допълнителни документи. Винаги когато е възможно, представяйте тази информация в електронна форма.</t>
  </si>
  <si>
    <t>Можете да представяте информация във форматите за Microsoft Word, Excel или Adobe Acrobat.</t>
  </si>
  <si>
    <t>Не се приемат други файлови формати освен гореспоменатите.</t>
  </si>
  <si>
    <t xml:space="preserve">Към представената допълнителна документация следва да има ясни препратки, а името на файла / опознавателният код да бъде даден(о) по-долу. </t>
  </si>
  <si>
    <t xml:space="preserve">Съветваме ви да избягвате подаване на несъществена информация, тъй като тя може да забави одобряването на доклада. </t>
  </si>
  <si>
    <t>Име на файл/код</t>
  </si>
  <si>
    <t>Описание на документа</t>
  </si>
  <si>
    <t>Свободно място за всякаква друга допълнителна информация</t>
  </si>
  <si>
    <t>В полето по-долу можете да въведете всякаква информация, която не сте могли да въведете в другите работни листове, но която считате са важна за компетентния орган</t>
  </si>
  <si>
    <t>Данни за инсталацията</t>
  </si>
  <si>
    <t>Идентификационен номер на инсталацията:</t>
  </si>
  <si>
    <t>Държава-членка:</t>
  </si>
  <si>
    <t>Участвала в СТЕ преди:</t>
  </si>
  <si>
    <t>Начална дата:</t>
  </si>
  <si>
    <t>Код NACE през 2007 г. (NACE rev 1.1):</t>
  </si>
  <si>
    <t>Идентификация EPRTR:</t>
  </si>
  <si>
    <t>Код NACE през 2010 г. (NACE rev 2):</t>
  </si>
  <si>
    <t>Име на връзката</t>
  </si>
  <si>
    <t>Вид обект</t>
  </si>
  <si>
    <t>Експлоатирана в отделни случаи:</t>
  </si>
  <si>
    <t>За частни жилища</t>
  </si>
  <si>
    <t>Индикативно очаквано крайно количество безплатни квоти:</t>
  </si>
  <si>
    <t>Функцията за автоматично изчисляване (която се намира в менюто „Tools/Options“) трябва да e включена.</t>
  </si>
  <si>
    <t>Хърватия</t>
  </si>
  <si>
    <t>Операторът на тази инсталация потвърждава, че инсталацията не отговаря на условията за безплатно предоставяне на квоти за емисии по реда на член 10а от Директивата за Схемата за търговия с емисии.</t>
  </si>
  <si>
    <t>Операторът на тази инсталация потвърждава, че с настоящото се подава заявка за промяна на количеството на безплатно предоставяните квоти за емисии по реда на член 10а от Директивата за Схемата за търговия с емисии.</t>
  </si>
  <si>
    <r>
      <t>В Директива 2003/87/ЕО, последно изменена с Директива 2009/29/ЕО (наричана тук „Директивата за СТЕ на ЕС“), се изисква държавите членки да предоставят безплатно квоти за емисии на инсталации в съответствие с валидни за цялата Общност и напълно хармонизирани правила (член 10а, параграф 1).</t>
    </r>
    <r>
      <rPr>
        <sz val="10"/>
        <color indexed="18"/>
        <rFont val="Arial"/>
        <family val="2"/>
      </rPr>
      <t xml:space="preserve"> </t>
    </r>
    <r>
      <rPr>
        <sz val="10"/>
        <rFont val="Arial"/>
        <family val="2"/>
      </rPr>
      <t>Директивата може да бъде изтеглена от:</t>
    </r>
  </si>
  <si>
    <r>
      <t>Тези валидни за цялата Общност мерки за изпълнение (наричани по-долу „МИ“) са публикувани като Решение 2011/278/ЕС на Комисията и могат да бъдат изтеглени от:</t>
    </r>
    <r>
      <rPr>
        <sz val="10"/>
        <color indexed="18"/>
        <rFont val="Arial"/>
        <family val="2"/>
      </rPr>
      <t xml:space="preserve"> </t>
    </r>
  </si>
  <si>
    <t>Документи с указания и формуляри, публикувани от Комисията относно правилата за разпределяне:</t>
  </si>
  <si>
    <t>Първоначален инсталиран капацитет</t>
  </si>
  <si>
    <t>Лист „InstallationData“ (данни за инсталацията) – ОБЩА ИНФОРМАЦИЯ ОТНОСНО НАСТОЯЩАТА ЗАЯВКА</t>
  </si>
  <si>
    <r>
      <t>В случая „държава членка“ означава:</t>
    </r>
    <r>
      <rPr>
        <i/>
        <sz val="8"/>
        <color indexed="62"/>
        <rFont val="Arial"/>
        <family val="2"/>
      </rPr>
      <t xml:space="preserve"> </t>
    </r>
    <r>
      <rPr>
        <i/>
        <sz val="8"/>
        <rFont val="Arial"/>
        <family val="2"/>
      </rPr>
      <t>държава, участваща в Европейската схема за търговия с емисии, т.е. страните от ЕС-27 плюс Хърватия, Исландия, Норвегия и Лихтенщайн.</t>
    </r>
  </si>
  <si>
    <t>Това обикновено е идентификационният код, използван във Втория национален план за разпределение на квоти за емисии (NAP II), ако това е приложимо, или националните мерки за изпълнение или  всякакъв друг идентификационен код, използван от компетентния орган при кореспонденция.</t>
  </si>
  <si>
    <t>За нови инсталации („новоизградени инсталации“) операторите са длъжни да поискат такъв идентификационен номер от компетентния орган.</t>
  </si>
  <si>
    <r>
      <t>Съдържащите се в настоящия файл данни ще бъдат използвани от компетентния орган за определяне на предоставянето на безплатни квоти съгласно член 10а от Директивата за СТЕ на ЕС или на промяна в количествата, свързана с предишни решения за разпределяне на квоти.</t>
    </r>
    <r>
      <rPr>
        <b/>
        <i/>
        <sz val="10"/>
        <color indexed="62"/>
        <rFont val="Arial"/>
        <family val="2"/>
      </rPr>
      <t xml:space="preserve"> </t>
    </r>
    <r>
      <rPr>
        <b/>
        <i/>
        <sz val="10"/>
        <rFont val="Arial"/>
        <family val="2"/>
      </rPr>
      <t>Освен това, тези данни ще бъдат съобщени на Европейската комисия, частично или изцяло, в съответствие с член 24, параграф 2 от мерките за изпълнение.</t>
    </r>
  </si>
  <si>
    <t>съобщение за грешка</t>
  </si>
  <si>
    <t>Нова подинсталация</t>
  </si>
  <si>
    <t>Последно изменение член 17, параграф 4.</t>
  </si>
  <si>
    <t>Идентификацията на инсталацията е задължително, ако свързаната с нея инсталация попада в обхвата на СТЕ на ЕС.</t>
  </si>
  <si>
    <t xml:space="preserve">Първоначално годишно ниво на активност </t>
  </si>
  <si>
    <t>Ден</t>
  </si>
  <si>
    <t>Съответно количество целулоза, доставено на пазара</t>
  </si>
  <si>
    <t xml:space="preserve">Съответно произведено количество целулоза </t>
  </si>
  <si>
    <t>Технически връзки (раздел A.VІ):</t>
  </si>
  <si>
    <t>Наименование</t>
  </si>
  <si>
    <t>Константа</t>
  </si>
  <si>
    <t>Допълнителни константи</t>
  </si>
  <si>
    <t>Обща активност</t>
  </si>
  <si>
    <t>във връзка с добавения капацитет</t>
  </si>
  <si>
    <t>Окончателно общо безплатно отпуснато количество квоти</t>
  </si>
  <si>
    <t>първа подинсталация на новосъздадена инсталация</t>
  </si>
  <si>
    <t>значително увеличение на капацитета</t>
  </si>
  <si>
    <t>значително намаление на капацитета</t>
  </si>
  <si>
    <t>частично спиране</t>
  </si>
  <si>
    <t>възобновяване след частично спиране</t>
  </si>
  <si>
    <t xml:space="preserve"> —</t>
  </si>
  <si>
    <t>Етап преди започване</t>
  </si>
  <si>
    <t>Двете най-високи нива на активност за 30-дневен период</t>
  </si>
  <si>
    <t xml:space="preserve">Двете най-високи нива на активност за календарен месец </t>
  </si>
  <si>
    <t>Операторът на тази инсталация потвърждава, че инсталацията е с прекратена експлоатация.</t>
  </si>
  <si>
    <t>Изпълнен критерий</t>
  </si>
  <si>
    <t>Не са въведени данни за RCUF</t>
  </si>
  <si>
    <t>0 &lt;= отношение &lt;=1 !</t>
  </si>
  <si>
    <t>последна промяна</t>
  </si>
  <si>
    <t>а) Изтекъл е срокът на разрешителното за емисии на парникови газове, на действащото разрешително съгласно Директива 2008/1/ЕО или на друго съответно разрешително за околната среда</t>
  </si>
  <si>
    <t>б) разрешителното по буква а) е било отнето</t>
  </si>
  <si>
    <t>в) Експлоатацията на инсталацията е технически невъзможна</t>
  </si>
  <si>
    <t>г) Инсталацията не се експлоатира, въпреки че по-рано се е експлоатирала, като възобновяването на експлоатацията е технически невъзможно</t>
  </si>
  <si>
    <t>д) Инсталацията не се експлоатира, въпреки че по-рано се е експлоатирала, като операторът не може да потвърди дали експлоатацията на тази инсталация може да бъде възобновена в рамките на 6 месеца след прекратяването на експлоатацията.</t>
  </si>
  <si>
    <t>за посочената година няма частично спиране!</t>
  </si>
  <si>
    <t>увеличаване на капацитета &lt; 10%</t>
  </si>
  <si>
    <t>намаляване на капацитета &lt; 10%</t>
  </si>
  <si>
    <t xml:space="preserve">не е достигнат минимумът от 40 % </t>
  </si>
  <si>
    <t>Само една първа подинсталация!</t>
  </si>
  <si>
    <t>Изберете поне една нова подинсталация!</t>
  </si>
  <si>
    <t>Изберете вида на промените за настоящата заявка!</t>
  </si>
  <si>
    <t>Задължително е да се отговори на въпроси б) и г)!</t>
  </si>
  <si>
    <t>Задължително е да се отговори на въпрос д) в A.II.2!</t>
  </si>
  <si>
    <t>Позиция д) не е в сила за инсталации, които се държат в резерв или режим на готовност, както и за инсталации, които се експлоатират по сезонен график.</t>
  </si>
  <si>
    <t>Липсва вид дейност (A.I.3.a)!</t>
  </si>
  <si>
    <t>Инсталация ПРЕДИ сливане, разделяне или прехвърляне</t>
  </si>
  <si>
    <t>Инсталация СЛЕД сливане, разделяне или прехвърляне (подаваща настоящата заявка)</t>
  </si>
  <si>
    <t>Инсталация СЛЕД сливане, разделяне или прехвърляне</t>
  </si>
  <si>
    <t>Прехвърляне от инсталация</t>
  </si>
  <si>
    <t>Задължително е да се отговори на въпрос (a) от раздел A.I!</t>
  </si>
  <si>
    <t>Операторът е потвърдил, че настоящата заявка е свързана изключително с промени на границите на инсталацията и на действащите разрешителни, и също така е потвърдил, че няма физически промени в инсталацията.</t>
  </si>
  <si>
    <t>Първоначална инсталация 1</t>
  </si>
  <si>
    <t>Първоначална инсталация 2</t>
  </si>
  <si>
    <t>Инсталация 1</t>
  </si>
  <si>
    <t>Инсталация 2</t>
  </si>
  <si>
    <t>Разглеждани инсталации</t>
  </si>
  <si>
    <t>Потвърждение на допустимостта</t>
  </si>
  <si>
    <t>Идентификация на всички разглеждани инсталации</t>
  </si>
  <si>
    <t>Формуляр за заявка за сливане, разделяне и прехвърляне на части от инсталации</t>
  </si>
  <si>
    <t>Съгласно рамковата нормативна уредба за хармонизираните правила за разпределение на квоти и когато са изпълнени условията, определящи значителна промяна в капацитета:</t>
  </si>
  <si>
    <t>Сливане на две инсталации се оформя като спиране на дейността на една от инсталациите и увеличаване на производствения капацитет на другата инсталация.</t>
  </si>
  <si>
    <t>Операторите трябва да докладват за такива промени в съответствие с нормалната процедура за нови участници и закривания и съответните разпоредби в CIMs.</t>
  </si>
  <si>
    <t>Във връзка с горепосоченото, независимо от факта, че сливанията и разделянията са сравнително обичайни административни процедури в промишления сектор, дължащи се на промени в собствеността, в контекста на безплатното предоставяне на квоти за емисии в рамките на СТЕ на ЕС е необходимо те да бъдат разглеждани в съответствие с хармонизираните правила за разпределение на квоти, т.е. посредством нови участници (новопоявили се инсталации), значителни промени в капацитета и спирания на дейности.</t>
  </si>
  <si>
    <t>Инсталациите трябва да са в обхвата на СТЕ и да имат разрешителни за емисии на парникови газове както преди, така и след настъпването на сливането или разделянето</t>
  </si>
  <si>
    <t>Сливането или разделянето не може да доведе до предоставяне на повече квоти в сравнение с броя на квотите, докладван в Националната таблица за разпределение на квоти (NAT) преди сливането или разделянето</t>
  </si>
  <si>
    <t>В случай на сливане на инсталации, в съответствие с член 3, буква д) от Директива 2003/87/ЕО, сливането трябва да се отнася за инсталации, които са технически свързани, работят в един и същ промишлен обект и са обхванати от едно и също разрешително след като е настъпило сливането</t>
  </si>
  <si>
    <t>Инсталацията (инсталациите), участващи в сливането или разделянето, са обхванати от едно и също разрешително за емисии на парникови газове, отразяващо техния нов статут</t>
  </si>
  <si>
    <t>Препоръчва се да прегледате целия файл от началото до края. Има няколко функции, които ще Ви насочват във формуляра в зависимост от по-рано попълнени данни, като например промяна на цвета на клетките, в които не е необходимо въвеждане на данни (вж. цветовите кодове по-долу).</t>
  </si>
  <si>
    <t>Дали заявката се отнася за сливане, разделяне или прехвърляне на части от инсталации?</t>
  </si>
  <si>
    <t>Моля потвърдете, че описваната в настоящата заявка промяна на заявка се дължи само на сливане,  разделяне  или прехвърляне на части от инсталации . С това потвърждавате също, че не е имало физически промени и че настоящата заявка описва само промени на границите на инсталациите и на действащите разрешителни.</t>
  </si>
  <si>
    <t>Официална дата, на която е станало сливането, разделянето или прехвърлянето на части от инсталации</t>
  </si>
  <si>
    <t>Описание на сливането, разделянето или прехвърлянето</t>
  </si>
  <si>
    <t>Моля въведете тук кратко описание на правната ситуация, довела до разбирането, че следва отсега нататък да се промени идентификацията на инсталациите.</t>
  </si>
  <si>
    <t>Моля да имате предвид, че всички въведени тук данни трябва да отразяват информация за инсталацията, за която се подава заявката, така както тази информация е валидна СЛЕД сливането,  разделянето  или прехвърляне на части от инсталации.</t>
  </si>
  <si>
    <t>Най-нова актуализация на разрешителните:</t>
  </si>
  <si>
    <t>Моля въведете тук информация за всички инсталации, участващи в сливането, разделянето или прехвърлянето на части от инсталации.</t>
  </si>
  <si>
    <t>Инсталации 1и 2 трябва да бъдат описани в ситуацията, както са били  ПРЕДИ сливането, разделянето или прехвърлянето на части от инсталации.</t>
  </si>
  <si>
    <t>Инсталации 3 и 4  трябва да бъдат описани в ситуацията СЛЕД сливането, разделянето  или прехвърлянето на части от инсталации, като инсталация 3 е тази,за която се подава заявката.</t>
  </si>
  <si>
    <t>Забележка: често има само една инсталация преди или след промяната. В тези случаи не е необходимо да се попълват всички следващи раздели:</t>
  </si>
  <si>
    <t>в случай на сливане най-често има две инсталации ПРЕДИ промяната и само една инсталация СЛЕД промяната (съответните раздели са: 1, 2 и 3)</t>
  </si>
  <si>
    <t>в случай на разделяне най-често има една инсталация ПРЕДИ промяната и две инсталации СЛЕД промяната (съответните раздели са: 1, 3 и 4)</t>
  </si>
  <si>
    <t>Дали инсталацията, за която се подава заявката, е със същата идентификация като инсталацията отпреди промяната?</t>
  </si>
  <si>
    <t>Моля да въведете тук „ДА“ ако идентификаторът и съответните данни на инсталацията (в раздел IIпо-горе) ОТ ПРЕДИ сливането, разделянето или прехвърлянето са същите като СЛЕД тази промяна.</t>
  </si>
  <si>
    <t>Ако въведете тук „НЕ“, това показва, че идентификацията на инсталацията или съответните данни са различни. В такъв случай наименованието на инсталация 1 ПРЕДИ сливането, разделянето или прехвърлянето трябва да бъде въведено ръчно в точка ii. по-долу.</t>
  </si>
  <si>
    <t>Наименование на инсталацията (от раздел II.1.a)</t>
  </si>
  <si>
    <t>Ръчно въведено изменение (ако наименованието е различно от това в точка i.)</t>
  </si>
  <si>
    <t>Наименование на инсталацията, използвано при подаване на заявката</t>
  </si>
  <si>
    <t>Автоматичен уникален идентификатор, даден от националните власти</t>
  </si>
  <si>
    <t>Уникален идентификатор, използван за нотифициране</t>
  </si>
  <si>
    <t>Автоматичен регистров уникален идентификатор</t>
  </si>
  <si>
    <t>Ръчно въвеждане на уникален идентификатор</t>
  </si>
  <si>
    <t>Ако се разглежда само една инсталация ПРЕДИ сливането, разделянето или прехвърлянето, този раздел се оставя празен.</t>
  </si>
  <si>
    <t>Автоматичен уникален идентификатор</t>
  </si>
  <si>
    <t>Ръчно изменение (ако данните в точка i. не са съответстващи)</t>
  </si>
  <si>
    <t>Забележка:Това е инсталацията, за която се подава настоящата заявка. Следователно въведените тук данни са идентични на данните в раздел II по-горе.</t>
  </si>
  <si>
    <t>Ако се разглежда само една инсталация СЛЕД сливането, разделянето или прехвърлянето, този раздел се оставя празен.</t>
  </si>
  <si>
    <t>B. Първоначална ситуация</t>
  </si>
  <si>
    <t>Лист „Първоначална ситуация“</t>
  </si>
  <si>
    <t>Ситуация ПРЕДИ сливането на инсталации</t>
  </si>
  <si>
    <t>Най-ново окончателно разпределено количество квоти без отчитане на корекционни коефициенти за евентуални частични спирания на дейности</t>
  </si>
  <si>
    <t>Моля въведете тук най-новото окончателно количество на безплатно предоставени квоти, без отчитане на корекционни коефициенти по член 23 от CIMs (Решение2011/278/ЕС) .</t>
  </si>
  <si>
    <t>Най-ново окончателно разпределено количество квоти с отчитане на корекционни коефициенти за евентуални частични спирания на дейности</t>
  </si>
  <si>
    <t>Моля въведете тук най-новото окончателно количество на безплатно предоставени квоти, с отчитане  на корекционни коефициенти по член 23 от CIMs (Решение2011/278/ЕС) .</t>
  </si>
  <si>
    <t>Първоначален инсталиран капацитет (мощност) и първоначално годишно равнище на активност</t>
  </si>
  <si>
    <t>Моля въведете тук стойностите на капацитета (мощността) и на равнището на активност, използвани за определяне на най-новото окончателно разпределено количество квоти.</t>
  </si>
  <si>
    <t>Тези стойности трябва да отразяват текущата стойност на първоначалния инсталиран капацитет (мощност) и на първоначалното годишно равнище на активност и ще се използват за евентуални бъдещи изменения на разпределеното количество квоти в съответствие с членове 19—23 от CIMs (Решение2011/278/ЕС).</t>
  </si>
  <si>
    <t>C. Сливане, разделяне, прехвърляне</t>
  </si>
  <si>
    <t>Лист „Сливане, разделяне и прехвърляне“</t>
  </si>
  <si>
    <t>Прехвърляне на квоти, капацитет и равнище на активност</t>
  </si>
  <si>
    <t>Моля въведете тук дела на квотите, на капацитета и на равнището на активност, прехвърляни от първата инсталация.</t>
  </si>
  <si>
    <t>от:</t>
  </si>
  <si>
    <t>на:</t>
  </si>
  <si>
    <t>Дял</t>
  </si>
  <si>
    <t>Инсталиран капацитет (мощност)</t>
  </si>
  <si>
    <t>Годишно равнище на активност</t>
  </si>
  <si>
    <t>D. Обобщени данни</t>
  </si>
  <si>
    <t>Лист „Обобщени данни“</t>
  </si>
  <si>
    <t>Инсталации, участващи в сливането, разделянето или прехвърлянето</t>
  </si>
  <si>
    <t>Ново разпределение на квотите</t>
  </si>
  <si>
    <t>Нов първоначален инсталиран капацитет (мощност) и ново годишно равнище на активност:</t>
  </si>
  <si>
    <t>Година</t>
  </si>
  <si>
    <t>Година, от която ще се промени разпределението на квотите</t>
  </si>
  <si>
    <t xml:space="preserve">По принцип разпределението се променя от следващата година след сливането, разделянето или прехвърлянето на части от инсталацията. </t>
  </si>
  <si>
    <t>Но в случай, че вече са издадени квотите за тази година, разпределението ще се промени от втората година след сливането, разделянето или прехвърлянето на части от инсталацията.</t>
  </si>
  <si>
    <t>Пример: направено е разделяне през ноември 2014 г., което е докладвано през януари 2015 г. Разпределението на квотите се променя от 2015 г. Но ако разделянето е докладвано след като вече са издадени квоти за 2015 г. (т.е. след 28 февруари 2015 г.), разпределението на квотите ще се промени от 2016 г.</t>
  </si>
  <si>
    <t>Най-ранна година, от която ще се промени разпределението на база на данните, въведени в точка b) по-горе</t>
  </si>
  <si>
    <t>Има ли вече издадени квоти във Вашата партида за годината, изписана в точка i. по-горе?</t>
  </si>
  <si>
    <t>Окончателен резултат: година, от която се променя разпределението на квоти</t>
  </si>
  <si>
    <t>Изписаните тук количества отразяват изчислението на окончателното общо количество безплатно предоставяни квоти за инсталацията, за която се подава настоящата заявка.</t>
  </si>
  <si>
    <t>Забележка: изписаните тук количества отразяват разпределението на квоти за другата участваща инсталация и имат значение  само в случаите на разделяния или прехвърляния на части от инсталации. Тези количества се изписват само за пълнота.</t>
  </si>
  <si>
    <t>Сливане</t>
  </si>
  <si>
    <t>Разделяне</t>
  </si>
  <si>
    <t>Прехвърляне на части от инсталацията</t>
  </si>
  <si>
    <t>Моля въведете тук дела на квотите, капацитета и равнището на активност, прехвърляни от втората инсталация.</t>
  </si>
  <si>
    <t>В Указателен документ 10 относно „Разпределение на квоти при сливане и разделяне“ има изискване в глава 1, което гласи че „сливането или разделянето не трябва да води до предоставяне на повече квоти в сравнение с количеството квоти, докладвано в Националната таблица за разпределение на квоти (NAT) преди сливането или разделянето“.</t>
  </si>
  <si>
    <t>Поради прилаганото закръгляване и в зависимост от дяловете, въведени в Лист C, възможно е сумата на разпределените квоти, изчислена в разделите  III.1 и III.2 по-долу, да надхвърли разпределените квоти преди сливането или разделянето. В този случай в клетката по-долу ще се появи съобщение за грешка.</t>
  </si>
  <si>
    <t>Ако се появи такова съобщение за грешка, моля променете дяловете, въведени в Лист C, така че да се избегне грешката при закръглението.</t>
  </si>
  <si>
    <t xml:space="preserve">Сумата на разпределените квоти в раздели III.1 и III.2 по-долу надхвърля първоначалното количество разпределени квоти преди сливането или разделянето! </t>
  </si>
  <si>
    <r>
      <t>Това описание трябва да изяснява как съответните инсталации са свързани технически, т.е. какви са физическите блокове в инсталациите и връзките между тях, както и съответните  потоци от топлина, отпадни газове и  CO</t>
    </r>
    <r>
      <rPr>
        <i/>
        <vertAlign val="subscript"/>
        <sz val="8"/>
        <color indexed="62"/>
        <rFont val="Arial"/>
        <family val="2"/>
      </rPr>
      <t>2</t>
    </r>
    <r>
      <rPr>
        <i/>
        <sz val="8"/>
        <color indexed="62"/>
        <rFont val="Arial"/>
        <family val="2"/>
      </rPr>
      <t>, преминаващи от един блок към друг.</t>
    </r>
  </si>
  <si>
    <t>endorsed by CCC</t>
  </si>
  <si>
    <t>Задължително е да се отговори на въпрос (f) от раздел A.I.!</t>
  </si>
  <si>
    <t>Въпреки това, някои други промени в разпределението на квоти след сливане или разделяне могат също да бъдат в съответствие с хармонизираните правила за разпределение на квоти, ако са изпълнени известни условия, както следва:</t>
  </si>
  <si>
    <t>ДЕКЛАРАЦИЯ ЗА ОТКАЗ ОТ ОТГОВОРНОСТ: Всички формули са разработени внимателно и изчерпателно. Въпреки това, невъзможно е да се изключи изцяло вероятността от поява на грешки.
Както е посочено по-горе, осигурена е пълна прозрачност за проверка на правилността на изчисленията. Както авторите на настоящия файл, така също и Европейската комисия не носят отговорност за грешни или заблуждаващи резултати от изпълняваните чрез файла изчисления.   
Потребителят на настоящия файл (т.е. операторът на съответната инсталация в рамките на Европейската схема за търговия с емисии) носи пълна отговорност за осигуряване на докладването на верни данни на съответния компетентен орган.</t>
  </si>
  <si>
    <t>Министерство на околната среда и водите, Дирекция "Политика по изменение на климата", София 1000, бул. "Княгиня Мария Луиза" 22</t>
  </si>
  <si>
    <t>Моля, тук посочете информация за разрешителното за емисии на парникови газове (т.е. разрешителното, издадено в съответствие с член 4 и член 6 от Директивата за Европейската схема за търговия с емисии).</t>
  </si>
  <si>
    <t>По-долу посочете име(на) на файлове (ако са в електронна форма) или опознавателен(ни) код(ове) (ако са на хартия):</t>
  </si>
  <si>
    <t>Дирекция "Политика по изменение на климата", отдел "Прилагане на европейската политика по изменение на климата"</t>
  </si>
  <si>
    <t>Идентификатор в CITL, ако е приложимо</t>
  </si>
  <si>
    <t>Значителни увеличения на капацитета (член 20 от Решение № 2011/278/ЕС) и/или намаления (член 21 от Решение № 2011/278/ЕС)</t>
  </si>
  <si>
    <t>Прекратяване на експлоатацията на инсталацията като цяло (член 22 от Решение № 2011/278/ЕС)</t>
  </si>
  <si>
    <t>Инсталацията е новоизградена и подава заявка за предоставяне на квоти за нов участник в съответствие с член 17 от Решение № 2011/278/ЕС.</t>
  </si>
  <si>
    <t>Частични прекратявания на експлоатацията и/или възобновяване след частични спирания (член 23 от Решение № 2011/278/ЕС)</t>
  </si>
  <si>
    <t>Начало на нормална експлоатация (член 3, буква н) от Решение № 2011/278/ЕС)</t>
  </si>
  <si>
    <t>Начало на променена експлоатация (член 3, буква о) от Решение № 2011/278/ЕС)</t>
  </si>
  <si>
    <t>Няма значителна промяна в капацитета в съответствие с член 3, букви и) и й) от Решение № 2011/278/ЕС!</t>
  </si>
  <si>
    <t>Национални мерки за изпълнение 2005-2008 г.</t>
  </si>
  <si>
    <t>Експериментална проверка във връзка с Националните мерки за изпълнение</t>
  </si>
  <si>
    <t>Член 9, параграф 6 от Националните мерки за изпълнение</t>
  </si>
  <si>
    <t>Член 9, параграф 9 от Националните мерки за изпълнение</t>
  </si>
  <si>
    <t>Ако въвеждате ръчно в точка ii. по-долу уникален идентификатор за използване в регистъра, неговият формат трябва да е напр.  „BG000000000012345“</t>
  </si>
  <si>
    <t>Настоящото заявление се отнася за:</t>
  </si>
  <si>
    <t>В хармонизираните Общностни мерки за изпълнение (CIMs) не са включени изрични разпоредби относно сливания и разделяния на инсталации. Поради това общовалидното правило е, че всяка промяна в безплатно предоставяните квоти за емисии след сливане или разделяне на инсталации следва да се прави в съответствие с предвидените в CIMs разпоредби за нови участници и закривания (NEC).</t>
  </si>
  <si>
    <t>Разделяне на една инсталация на две (или повече) инсталации следва да се оформя като значително намаление на капацитета на първоначалната инсталация и поява на един (или повече)  нови участници (разглеждат се като новопоявили се — „greenfield“).</t>
  </si>
  <si>
    <t xml:space="preserve">Настоящият формуляр е разработен по поръчка на Комисията от консултант, (Umweltbundesamt GmbH, Австрия).
Изразените в настоящия файл гледни точки са на неговите автори и не отразяват задължително гледната точка на Европейската комисия. </t>
  </si>
  <si>
    <t>Това е окончателната версия на настоящия формуляр, одобрена от Комитета по изменение на климата на 12 ноември 2015 г.</t>
  </si>
  <si>
    <t>http://www.moew.government.bg/?show=top&amp;cid=5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</si>
</sst>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#,##0.00_ ;[Red]\-#,##0.00\ "/>
    <numFmt numFmtId="190" formatCode="0.0000%"/>
    <numFmt numFmtId="191" formatCode="0.0000"/>
    <numFmt numFmtId="192" formatCode="[$-C07]dddd\,\ dd\.\ mmmm\ yyyy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%"/>
    <numFmt numFmtId="204" formatCode="0.000%"/>
    <numFmt numFmtId="205" formatCode="#,##0.0_ ;[Red]\-#,##0.0\ "/>
    <numFmt numFmtId="206" formatCode="#,##0.000_ ;[Red]\-#,##0.000\ "/>
    <numFmt numFmtId="207" formatCode="#,##0.0000_ ;[Red]\-#,##0.0000\ "/>
    <numFmt numFmtId="208" formatCode="#,##0.000"/>
    <numFmt numFmtId="209" formatCode="0.000_ ;[Red]\-0.000\ "/>
    <numFmt numFmtId="210" formatCode="0.0000_ ;[Red]\-0.0000\ "/>
    <numFmt numFmtId="211" formatCode="[$-409]dddd\,\ mmmm\ dd\,\ yyyy"/>
    <numFmt numFmtId="212" formatCode="#,##0.00;[Red]#,##0.00"/>
    <numFmt numFmtId="213" formatCode="0.0_)"/>
    <numFmt numFmtId="214" formatCode="0_)"/>
    <numFmt numFmtId="215" formatCode="#,##0_)"/>
    <numFmt numFmtId="216" formatCode="0.0%_)"/>
    <numFmt numFmtId="217" formatCode="#,##0.00000_ ;[Red]\-#,##0.00000\ "/>
    <numFmt numFmtId="218" formatCode="#,##0.000000_ ;[Red]\-#,##0.000000\ "/>
    <numFmt numFmtId="219" formatCode="#,##0.0000000_ ;[Red]\-#,##0.0000000\ "/>
    <numFmt numFmtId="220" formatCode="0.00_)"/>
    <numFmt numFmtId="221" formatCode="General_)"/>
    <numFmt numFmtId="222" formatCode="#,##0.0"/>
    <numFmt numFmtId="223" formatCode="0_ ;[Red]\-0\ "/>
    <numFmt numFmtId="224" formatCode="#,##0.00000000_ ;[Red]\-#,##0.00000000\ "/>
    <numFmt numFmtId="225" formatCode="#,##0.0000"/>
    <numFmt numFmtId="226" formatCode="#,##0.00000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i/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u val="single"/>
      <sz val="10"/>
      <color indexed="62"/>
      <name val="Arial"/>
      <family val="2"/>
    </font>
    <font>
      <i/>
      <sz val="8"/>
      <color indexed="14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8"/>
      <color indexed="62"/>
      <name val="Arial"/>
      <family val="2"/>
    </font>
    <font>
      <b/>
      <sz val="9"/>
      <name val="Tahoma"/>
      <family val="2"/>
    </font>
    <font>
      <b/>
      <sz val="10"/>
      <color indexed="13"/>
      <name val="Arial"/>
      <family val="2"/>
    </font>
    <font>
      <sz val="9"/>
      <name val="Tahoma"/>
      <family val="2"/>
    </font>
    <font>
      <sz val="9"/>
      <color indexed="12"/>
      <name val="Tahoma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62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u val="single"/>
      <sz val="10"/>
      <color indexed="62"/>
      <name val="Arial"/>
      <family val="2"/>
    </font>
    <font>
      <i/>
      <u val="single"/>
      <sz val="8"/>
      <color indexed="62"/>
      <name val="Arial"/>
      <family val="2"/>
    </font>
    <font>
      <b/>
      <sz val="20"/>
      <color indexed="62"/>
      <name val="Arial"/>
      <family val="2"/>
    </font>
    <font>
      <b/>
      <i/>
      <sz val="12"/>
      <color indexed="18"/>
      <name val="Arial"/>
      <family val="2"/>
    </font>
    <font>
      <b/>
      <i/>
      <sz val="12"/>
      <name val="Arial"/>
      <family val="2"/>
    </font>
    <font>
      <u val="single"/>
      <sz val="10"/>
      <name val="Courier New"/>
      <family val="3"/>
    </font>
    <font>
      <i/>
      <sz val="8"/>
      <name val="Arial"/>
      <family val="2"/>
    </font>
    <font>
      <sz val="10"/>
      <name val="Times New Roman"/>
      <family val="1"/>
    </font>
    <font>
      <i/>
      <vertAlign val="subscript"/>
      <sz val="8"/>
      <color indexed="62"/>
      <name val="Arial"/>
      <family val="2"/>
    </font>
    <font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8"/>
      <color indexed="62"/>
      <name val="Arial"/>
      <family val="2"/>
    </font>
    <font>
      <sz val="14"/>
      <color indexed="18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i/>
      <sz val="8"/>
      <color indexed="23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b/>
      <sz val="11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sz val="11"/>
      <color rgb="FF00008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b/>
      <sz val="18"/>
      <color rgb="FF333399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i/>
      <sz val="8"/>
      <color rgb="FF333399"/>
      <name val="Arial"/>
      <family val="2"/>
    </font>
    <font>
      <b/>
      <i/>
      <sz val="8"/>
      <color rgb="FF333399"/>
      <name val="Arial"/>
      <family val="2"/>
    </font>
    <font>
      <sz val="14"/>
      <color rgb="FF000080"/>
      <name val="Arial"/>
      <family val="2"/>
    </font>
    <font>
      <b/>
      <sz val="11"/>
      <color rgb="FFFF0000"/>
      <name val="Calibri"/>
      <family val="2"/>
    </font>
    <font>
      <i/>
      <sz val="8"/>
      <color theme="1" tint="0.49998000264167786"/>
      <name val="Arial"/>
      <family val="2"/>
    </font>
    <font>
      <b/>
      <i/>
      <sz val="8"/>
      <color theme="1" tint="0.49998000264167786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00FF"/>
        <bgColor indexed="64"/>
      </patternFill>
    </fill>
    <fill>
      <patternFill patternType="lightUp">
        <bgColor indexed="9"/>
      </patternFill>
    </fill>
  </fills>
  <borders count="1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>
        <color indexed="8"/>
      </bottom>
    </border>
    <border>
      <left style="medium"/>
      <right style="medium"/>
      <top style="thick"/>
      <bottom style="medium">
        <color indexed="8"/>
      </bottom>
    </border>
    <border>
      <left>
        <color indexed="63"/>
      </left>
      <right style="medium"/>
      <top style="thick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ck"/>
      <right style="thick"/>
      <top style="medium">
        <color indexed="8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1" applyNumberFormat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2" applyNumberFormat="0" applyAlignment="0" applyProtection="0"/>
    <xf numFmtId="0" fontId="2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1" borderId="3" applyNumberFormat="0" applyAlignment="0" applyProtection="0"/>
  </cellStyleXfs>
  <cellXfs count="1026">
    <xf numFmtId="0" fontId="0" fillId="0" borderId="0" xfId="0" applyAlignment="1">
      <alignment/>
    </xf>
    <xf numFmtId="0" fontId="5" fillId="24" borderId="0" xfId="65" applyFill="1" applyBorder="1" applyAlignment="1" applyProtection="1">
      <alignment vertical="top"/>
      <protection/>
    </xf>
    <xf numFmtId="0" fontId="3" fillId="24" borderId="0" xfId="65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vertical="top"/>
      <protection/>
    </xf>
    <xf numFmtId="0" fontId="0" fillId="24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 vertical="top"/>
      <protection/>
    </xf>
    <xf numFmtId="0" fontId="2" fillId="26" borderId="0" xfId="0" applyFont="1" applyFill="1" applyBorder="1" applyAlignment="1" applyProtection="1">
      <alignment horizontal="left"/>
      <protection/>
    </xf>
    <xf numFmtId="0" fontId="2" fillId="26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0" fontId="0" fillId="24" borderId="0" xfId="0" applyFont="1" applyFill="1" applyAlignment="1" applyProtection="1">
      <alignment vertical="top"/>
      <protection/>
    </xf>
    <xf numFmtId="0" fontId="28" fillId="24" borderId="0" xfId="0" applyFont="1" applyFill="1" applyAlignment="1" applyProtection="1">
      <alignment horizontal="center"/>
      <protection/>
    </xf>
    <xf numFmtId="0" fontId="28" fillId="24" borderId="0" xfId="0" applyFont="1" applyFill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4" borderId="0" xfId="0" applyFill="1" applyAlignment="1" applyProtection="1">
      <alignment horizontal="left" vertical="top"/>
      <protection/>
    </xf>
    <xf numFmtId="0" fontId="0" fillId="24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NumberFormat="1" applyFont="1" applyFill="1" applyBorder="1" applyAlignment="1" applyProtection="1">
      <alignment vertical="top"/>
      <protection/>
    </xf>
    <xf numFmtId="0" fontId="0" fillId="24" borderId="10" xfId="0" applyNumberFormat="1" applyFont="1" applyFill="1" applyBorder="1" applyAlignment="1" applyProtection="1">
      <alignment horizontal="center" vertical="top"/>
      <protection/>
    </xf>
    <xf numFmtId="0" fontId="3" fillId="24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4" borderId="11" xfId="0" applyNumberFormat="1" applyFont="1" applyFill="1" applyBorder="1" applyAlignment="1" applyProtection="1">
      <alignment vertical="top"/>
      <protection/>
    </xf>
    <xf numFmtId="0" fontId="0" fillId="24" borderId="0" xfId="0" applyNumberFormat="1" applyFont="1" applyFill="1" applyBorder="1" applyAlignment="1" applyProtection="1">
      <alignment horizontal="center" vertical="top"/>
      <protection/>
    </xf>
    <xf numFmtId="188" fontId="0" fillId="24" borderId="13" xfId="0" applyNumberFormat="1" applyFont="1" applyFill="1" applyBorder="1" applyAlignment="1" applyProtection="1">
      <alignment horizontal="right" vertical="top" indent="1"/>
      <protection/>
    </xf>
    <xf numFmtId="188" fontId="0" fillId="24" borderId="14" xfId="0" applyNumberFormat="1" applyFont="1" applyFill="1" applyBorder="1" applyAlignment="1" applyProtection="1">
      <alignment horizontal="right" vertical="top" indent="1"/>
      <protection/>
    </xf>
    <xf numFmtId="188" fontId="0" fillId="24" borderId="15" xfId="0" applyNumberFormat="1" applyFont="1" applyFill="1" applyBorder="1" applyAlignment="1" applyProtection="1">
      <alignment horizontal="right" vertical="top" indent="1"/>
      <protection/>
    </xf>
    <xf numFmtId="0" fontId="0" fillId="25" borderId="0" xfId="0" applyNumberFormat="1" applyFont="1" applyFill="1" applyBorder="1" applyAlignment="1" applyProtection="1">
      <alignment horizontal="center" vertical="top"/>
      <protection/>
    </xf>
    <xf numFmtId="0" fontId="0" fillId="25" borderId="0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188" fontId="0" fillId="24" borderId="18" xfId="0" applyNumberFormat="1" applyFont="1" applyFill="1" applyBorder="1" applyAlignment="1" applyProtection="1">
      <alignment horizontal="right" vertical="top" indent="1"/>
      <protection/>
    </xf>
    <xf numFmtId="0" fontId="0" fillId="24" borderId="0" xfId="0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10" borderId="20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188" fontId="0" fillId="0" borderId="25" xfId="0" applyNumberFormat="1" applyFont="1" applyFill="1" applyBorder="1" applyAlignment="1" applyProtection="1">
      <alignment vertical="top"/>
      <protection/>
    </xf>
    <xf numFmtId="188" fontId="0" fillId="0" borderId="26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38" fillId="10" borderId="32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4" borderId="34" xfId="0" applyNumberFormat="1" applyFont="1" applyFill="1" applyBorder="1" applyAlignment="1" applyProtection="1">
      <alignment horizontal="center" vertical="top"/>
      <protection/>
    </xf>
    <xf numFmtId="0" fontId="0" fillId="4" borderId="35" xfId="0" applyNumberFormat="1" applyFont="1" applyFill="1" applyBorder="1" applyAlignment="1" applyProtection="1">
      <alignment horizontal="center" vertical="top"/>
      <protection/>
    </xf>
    <xf numFmtId="0" fontId="0" fillId="4" borderId="36" xfId="0" applyNumberFormat="1" applyFont="1" applyFill="1" applyBorder="1" applyAlignment="1" applyProtection="1">
      <alignment horizontal="center" vertical="top"/>
      <protection/>
    </xf>
    <xf numFmtId="0" fontId="3" fillId="24" borderId="37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Alignment="1" applyProtection="1" quotePrefix="1">
      <alignment horizontal="right" vertical="top"/>
      <protection/>
    </xf>
    <xf numFmtId="0" fontId="28" fillId="24" borderId="1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38" xfId="0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0" fillId="24" borderId="39" xfId="0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 vertical="top"/>
      <protection/>
    </xf>
    <xf numFmtId="0" fontId="0" fillId="24" borderId="39" xfId="0" applyNumberFormat="1" applyFont="1" applyFill="1" applyBorder="1" applyAlignment="1" applyProtection="1">
      <alignment vertical="top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40" xfId="0" applyFill="1" applyBorder="1" applyAlignment="1" applyProtection="1">
      <alignment/>
      <protection/>
    </xf>
    <xf numFmtId="0" fontId="3" fillId="0" borderId="40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0" fillId="24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4" borderId="0" xfId="0" applyFill="1" applyAlignment="1" applyProtection="1">
      <alignment vertical="top"/>
      <protection/>
    </xf>
    <xf numFmtId="0" fontId="0" fillId="24" borderId="0" xfId="0" applyFill="1" applyBorder="1" applyAlignment="1" applyProtection="1">
      <alignment vertical="top"/>
      <protection/>
    </xf>
    <xf numFmtId="188" fontId="0" fillId="24" borderId="0" xfId="0" applyNumberFormat="1" applyFill="1" applyBorder="1" applyAlignment="1" applyProtection="1">
      <alignment vertical="top"/>
      <protection/>
    </xf>
    <xf numFmtId="0" fontId="0" fillId="24" borderId="0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3" fillId="24" borderId="0" xfId="0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vertical="top"/>
      <protection/>
    </xf>
    <xf numFmtId="0" fontId="0" fillId="24" borderId="0" xfId="0" applyNumberFormat="1" applyFont="1" applyFill="1" applyBorder="1" applyAlignment="1" applyProtection="1">
      <alignment horizontal="left" vertical="top"/>
      <protection/>
    </xf>
    <xf numFmtId="0" fontId="26" fillId="24" borderId="0" xfId="0" applyFont="1" applyFill="1" applyAlignment="1" applyProtection="1">
      <alignment vertical="top"/>
      <protection/>
    </xf>
    <xf numFmtId="0" fontId="3" fillId="24" borderId="41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0" fontId="0" fillId="24" borderId="0" xfId="0" applyFont="1" applyFill="1" applyAlignment="1" applyProtection="1">
      <alignment horizontal="center" vertical="top"/>
      <protection/>
    </xf>
    <xf numFmtId="0" fontId="3" fillId="24" borderId="41" xfId="0" applyFont="1" applyFill="1" applyBorder="1" applyAlignment="1" applyProtection="1">
      <alignment horizontal="left" vertical="top"/>
      <protection/>
    </xf>
    <xf numFmtId="0" fontId="3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34" fillId="26" borderId="0" xfId="0" applyFont="1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0" fontId="0" fillId="25" borderId="0" xfId="0" applyFill="1" applyAlignment="1" applyProtection="1">
      <alignment wrapText="1"/>
      <protection/>
    </xf>
    <xf numFmtId="0" fontId="24" fillId="25" borderId="0" xfId="0" applyFont="1" applyFill="1" applyAlignment="1" applyProtection="1">
      <alignment wrapText="1"/>
      <protection/>
    </xf>
    <xf numFmtId="191" fontId="0" fillId="25" borderId="0" xfId="0" applyNumberForma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91" fontId="0" fillId="27" borderId="0" xfId="0" applyNumberFormat="1" applyFill="1" applyAlignment="1" applyProtection="1">
      <alignment/>
      <protection/>
    </xf>
    <xf numFmtId="0" fontId="31" fillId="1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 horizontal="left" indent="1"/>
      <protection/>
    </xf>
    <xf numFmtId="0" fontId="24" fillId="25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42" fillId="0" borderId="42" xfId="0" applyFont="1" applyBorder="1" applyAlignment="1" applyProtection="1">
      <alignment horizontal="left" vertical="top"/>
      <protection/>
    </xf>
    <xf numFmtId="0" fontId="43" fillId="0" borderId="43" xfId="0" applyFont="1" applyBorder="1" applyAlignment="1" applyProtection="1">
      <alignment horizontal="center" vertical="top" wrapText="1"/>
      <protection/>
    </xf>
    <xf numFmtId="0" fontId="42" fillId="0" borderId="44" xfId="0" applyFont="1" applyBorder="1" applyAlignment="1" applyProtection="1">
      <alignment horizontal="left" vertical="top"/>
      <protection/>
    </xf>
    <xf numFmtId="0" fontId="43" fillId="0" borderId="45" xfId="0" applyFont="1" applyBorder="1" applyAlignment="1" applyProtection="1">
      <alignment horizontal="center" vertical="top" wrapText="1"/>
      <protection/>
    </xf>
    <xf numFmtId="0" fontId="3" fillId="0" borderId="46" xfId="0" applyFont="1" applyBorder="1" applyAlignment="1" applyProtection="1">
      <alignment horizontal="left" vertical="top"/>
      <protection/>
    </xf>
    <xf numFmtId="0" fontId="43" fillId="0" borderId="47" xfId="0" applyFont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left" vertical="top"/>
      <protection/>
    </xf>
    <xf numFmtId="0" fontId="43" fillId="0" borderId="49" xfId="0" applyFont="1" applyBorder="1" applyAlignment="1" applyProtection="1">
      <alignment horizontal="center" vertical="top" wrapText="1"/>
      <protection/>
    </xf>
    <xf numFmtId="0" fontId="45" fillId="20" borderId="50" xfId="0" applyFont="1" applyFill="1" applyBorder="1" applyAlignment="1" applyProtection="1">
      <alignment horizontal="left" vertical="top"/>
      <protection/>
    </xf>
    <xf numFmtId="0" fontId="45" fillId="20" borderId="51" xfId="0" applyFont="1" applyFill="1" applyBorder="1" applyAlignment="1" applyProtection="1">
      <alignment horizontal="center" vertical="top" wrapText="1"/>
      <protection/>
    </xf>
    <xf numFmtId="0" fontId="45" fillId="20" borderId="52" xfId="0" applyFont="1" applyFill="1" applyBorder="1" applyAlignment="1" applyProtection="1">
      <alignment horizontal="center" vertical="top" wrapText="1"/>
      <protection/>
    </xf>
    <xf numFmtId="0" fontId="45" fillId="20" borderId="53" xfId="0" applyFont="1" applyFill="1" applyBorder="1" applyAlignment="1" applyProtection="1">
      <alignment horizontal="left" vertical="top"/>
      <protection/>
    </xf>
    <xf numFmtId="0" fontId="45" fillId="20" borderId="54" xfId="0" applyFont="1" applyFill="1" applyBorder="1" applyAlignment="1" applyProtection="1">
      <alignment horizontal="center" vertical="top" wrapText="1"/>
      <protection/>
    </xf>
    <xf numFmtId="0" fontId="45" fillId="20" borderId="55" xfId="0" applyFont="1" applyFill="1" applyBorder="1" applyAlignment="1" applyProtection="1">
      <alignment horizontal="center" vertical="top" wrapText="1"/>
      <protection/>
    </xf>
    <xf numFmtId="0" fontId="45" fillId="20" borderId="56" xfId="0" applyFont="1" applyFill="1" applyBorder="1" applyAlignment="1" applyProtection="1">
      <alignment horizontal="left" vertical="top"/>
      <protection/>
    </xf>
    <xf numFmtId="0" fontId="45" fillId="20" borderId="57" xfId="0" applyFont="1" applyFill="1" applyBorder="1" applyAlignment="1" applyProtection="1">
      <alignment horizontal="left" vertical="top"/>
      <protection/>
    </xf>
    <xf numFmtId="0" fontId="45" fillId="20" borderId="58" xfId="0" applyFont="1" applyFill="1" applyBorder="1" applyAlignment="1" applyProtection="1">
      <alignment horizontal="left" vertical="top"/>
      <protection/>
    </xf>
    <xf numFmtId="0" fontId="45" fillId="20" borderId="59" xfId="0" applyFont="1" applyFill="1" applyBorder="1" applyAlignment="1" applyProtection="1">
      <alignment horizontal="center" vertical="top" wrapText="1"/>
      <protection/>
    </xf>
    <xf numFmtId="0" fontId="45" fillId="20" borderId="21" xfId="0" applyFont="1" applyFill="1" applyBorder="1" applyAlignment="1" applyProtection="1">
      <alignment horizontal="center" vertical="top" wrapText="1"/>
      <protection/>
    </xf>
    <xf numFmtId="0" fontId="45" fillId="20" borderId="39" xfId="0" applyFont="1" applyFill="1" applyBorder="1" applyAlignment="1" applyProtection="1">
      <alignment horizontal="left" vertical="top"/>
      <protection/>
    </xf>
    <xf numFmtId="0" fontId="22" fillId="0" borderId="10" xfId="74" applyFont="1" applyBorder="1" applyProtection="1">
      <alignment/>
      <protection/>
    </xf>
    <xf numFmtId="0" fontId="1" fillId="0" borderId="0" xfId="74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0" borderId="60" xfId="0" applyBorder="1" applyAlignment="1" applyProtection="1">
      <alignment/>
      <protection/>
    </xf>
    <xf numFmtId="0" fontId="0" fillId="22" borderId="61" xfId="0" applyFill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14" fontId="0" fillId="18" borderId="63" xfId="0" applyNumberFormat="1" applyFill="1" applyBorder="1" applyAlignment="1" applyProtection="1">
      <alignment horizontal="left"/>
      <protection/>
    </xf>
    <xf numFmtId="0" fontId="0" fillId="4" borderId="64" xfId="0" applyFill="1" applyBorder="1" applyAlignment="1" applyProtection="1">
      <alignment/>
      <protection/>
    </xf>
    <xf numFmtId="0" fontId="0" fillId="4" borderId="65" xfId="0" applyFill="1" applyBorder="1" applyAlignment="1" applyProtection="1">
      <alignment/>
      <protection/>
    </xf>
    <xf numFmtId="0" fontId="0" fillId="4" borderId="66" xfId="0" applyFill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8" borderId="68" xfId="0" applyFill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20" borderId="7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22" borderId="0" xfId="0" applyFill="1" applyBorder="1" applyAlignment="1" applyProtection="1">
      <alignment/>
      <protection/>
    </xf>
    <xf numFmtId="14" fontId="0" fillId="18" borderId="71" xfId="0" applyNumberFormat="1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/>
      <protection/>
    </xf>
    <xf numFmtId="14" fontId="0" fillId="18" borderId="72" xfId="0" applyNumberFormat="1" applyFill="1" applyBorder="1" applyAlignment="1" applyProtection="1">
      <alignment horizontal="center"/>
      <protection/>
    </xf>
    <xf numFmtId="0" fontId="0" fillId="4" borderId="73" xfId="0" applyFill="1" applyBorder="1" applyAlignment="1" applyProtection="1">
      <alignment/>
      <protection/>
    </xf>
    <xf numFmtId="0" fontId="0" fillId="4" borderId="7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75" xfId="0" applyFill="1" applyBorder="1" applyAlignment="1" applyProtection="1">
      <alignment/>
      <protection/>
    </xf>
    <xf numFmtId="0" fontId="0" fillId="4" borderId="76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24" borderId="0" xfId="65" applyFill="1" applyAlignment="1" applyProtection="1">
      <alignment/>
      <protection/>
    </xf>
    <xf numFmtId="0" fontId="40" fillId="24" borderId="0" xfId="0" applyNumberFormat="1" applyFont="1" applyFill="1" applyAlignment="1" applyProtection="1">
      <alignment horizontal="left" vertical="top"/>
      <protection/>
    </xf>
    <xf numFmtId="0" fontId="47" fillId="24" borderId="0" xfId="0" applyFont="1" applyFill="1" applyAlignment="1" applyProtection="1">
      <alignment horizontal="center" vertical="top"/>
      <protection/>
    </xf>
    <xf numFmtId="0" fontId="47" fillId="24" borderId="32" xfId="0" applyNumberFormat="1" applyFont="1" applyFill="1" applyBorder="1" applyAlignment="1" applyProtection="1">
      <alignment horizontal="left" vertical="top"/>
      <protection/>
    </xf>
    <xf numFmtId="0" fontId="47" fillId="24" borderId="12" xfId="0" applyNumberFormat="1" applyFont="1" applyFill="1" applyBorder="1" applyAlignment="1" applyProtection="1">
      <alignment horizontal="left" vertical="top"/>
      <protection/>
    </xf>
    <xf numFmtId="0" fontId="47" fillId="24" borderId="10" xfId="0" applyNumberFormat="1" applyFont="1" applyFill="1" applyBorder="1" applyAlignment="1" applyProtection="1">
      <alignment horizontal="left" vertical="top"/>
      <protection/>
    </xf>
    <xf numFmtId="188" fontId="0" fillId="28" borderId="34" xfId="0" applyNumberFormat="1" applyFont="1" applyFill="1" applyBorder="1" applyAlignment="1" applyProtection="1">
      <alignment vertical="top"/>
      <protection locked="0"/>
    </xf>
    <xf numFmtId="0" fontId="0" fillId="24" borderId="0" xfId="0" applyFont="1" applyFill="1" applyAlignment="1" applyProtection="1">
      <alignment horizontal="right" vertical="top"/>
      <protection/>
    </xf>
    <xf numFmtId="0" fontId="0" fillId="24" borderId="0" xfId="0" applyFont="1" applyFill="1" applyAlignment="1" applyProtection="1">
      <alignment horizontal="right" indent="1"/>
      <protection/>
    </xf>
    <xf numFmtId="0" fontId="0" fillId="24" borderId="0" xfId="0" applyFont="1" applyFill="1" applyAlignment="1" applyProtection="1">
      <alignment horizontal="right" vertical="top" indent="1"/>
      <protection/>
    </xf>
    <xf numFmtId="0" fontId="7" fillId="24" borderId="0" xfId="0" applyFont="1" applyFill="1" applyAlignment="1" applyProtection="1" quotePrefix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0" fillId="24" borderId="0" xfId="0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vertical="top"/>
      <protection/>
    </xf>
    <xf numFmtId="49" fontId="0" fillId="28" borderId="11" xfId="0" applyNumberFormat="1" applyFont="1" applyFill="1" applyBorder="1" applyAlignment="1" applyProtection="1">
      <alignment horizontal="center" vertical="top"/>
      <protection locked="0"/>
    </xf>
    <xf numFmtId="0" fontId="0" fillId="24" borderId="0" xfId="0" applyFill="1" applyBorder="1" applyAlignment="1" applyProtection="1">
      <alignment horizontal="center" vertical="top"/>
      <protection/>
    </xf>
    <xf numFmtId="0" fontId="3" fillId="21" borderId="77" xfId="0" applyFont="1" applyFill="1" applyBorder="1" applyAlignment="1" applyProtection="1">
      <alignment/>
      <protection/>
    </xf>
    <xf numFmtId="0" fontId="0" fillId="21" borderId="77" xfId="0" applyFill="1" applyBorder="1" applyAlignment="1" applyProtection="1">
      <alignment/>
      <protection/>
    </xf>
    <xf numFmtId="0" fontId="3" fillId="21" borderId="6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top"/>
      <protection/>
    </xf>
    <xf numFmtId="0" fontId="3" fillId="24" borderId="28" xfId="0" applyNumberFormat="1" applyFont="1" applyFill="1" applyBorder="1" applyAlignment="1" applyProtection="1">
      <alignment horizontal="right" indent="1"/>
      <protection/>
    </xf>
    <xf numFmtId="0" fontId="0" fillId="4" borderId="77" xfId="0" applyNumberFormat="1" applyFont="1" applyFill="1" applyBorder="1" applyAlignment="1" applyProtection="1">
      <alignment vertical="top"/>
      <protection/>
    </xf>
    <xf numFmtId="0" fontId="3" fillId="24" borderId="41" xfId="0" applyNumberFormat="1" applyFont="1" applyFill="1" applyBorder="1" applyAlignment="1" applyProtection="1">
      <alignment horizontal="right"/>
      <protection/>
    </xf>
    <xf numFmtId="0" fontId="0" fillId="21" borderId="0" xfId="0" applyFill="1" applyAlignment="1" applyProtection="1">
      <alignment/>
      <protection/>
    </xf>
    <xf numFmtId="0" fontId="0" fillId="25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0" fillId="24" borderId="20" xfId="0" applyNumberFormat="1" applyFont="1" applyFill="1" applyBorder="1" applyAlignment="1" applyProtection="1">
      <alignment horizontal="center" vertical="top"/>
      <protection/>
    </xf>
    <xf numFmtId="0" fontId="3" fillId="24" borderId="37" xfId="0" applyNumberFormat="1" applyFont="1" applyFill="1" applyBorder="1" applyAlignment="1" applyProtection="1">
      <alignment vertical="top"/>
      <protection/>
    </xf>
    <xf numFmtId="188" fontId="3" fillId="4" borderId="37" xfId="0" applyNumberFormat="1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4" borderId="28" xfId="0" applyNumberFormat="1" applyFont="1" applyFill="1" applyBorder="1" applyAlignment="1" applyProtection="1">
      <alignment horizontal="left" vertical="top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0" fillId="0" borderId="79" xfId="0" applyNumberFormat="1" applyFont="1" applyFill="1" applyBorder="1" applyAlignment="1" applyProtection="1">
      <alignment vertical="top"/>
      <protection/>
    </xf>
    <xf numFmtId="0" fontId="0" fillId="0" borderId="80" xfId="0" applyNumberFormat="1" applyFont="1" applyFill="1" applyBorder="1" applyAlignment="1" applyProtection="1">
      <alignment vertical="top"/>
      <protection/>
    </xf>
    <xf numFmtId="0" fontId="0" fillId="4" borderId="11" xfId="0" applyNumberFormat="1" applyFont="1" applyFill="1" applyBorder="1" applyAlignment="1" applyProtection="1">
      <alignment vertical="top" wrapText="1"/>
      <protection/>
    </xf>
    <xf numFmtId="49" fontId="0" fillId="24" borderId="0" xfId="0" applyNumberFormat="1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5" fillId="24" borderId="0" xfId="65" applyFill="1" applyBorder="1" applyAlignment="1" applyProtection="1">
      <alignment horizontal="center" vertical="top"/>
      <protection/>
    </xf>
    <xf numFmtId="0" fontId="0" fillId="24" borderId="81" xfId="0" applyFill="1" applyBorder="1" applyAlignment="1" applyProtection="1">
      <alignment vertical="top"/>
      <protection/>
    </xf>
    <xf numFmtId="0" fontId="0" fillId="24" borderId="82" xfId="0" applyFill="1" applyBorder="1" applyAlignment="1" applyProtection="1">
      <alignment vertical="top"/>
      <protection/>
    </xf>
    <xf numFmtId="0" fontId="0" fillId="24" borderId="83" xfId="0" applyFill="1" applyBorder="1" applyAlignment="1" applyProtection="1">
      <alignment vertical="top"/>
      <protection/>
    </xf>
    <xf numFmtId="0" fontId="0" fillId="4" borderId="82" xfId="0" applyFill="1" applyBorder="1" applyAlignment="1" applyProtection="1">
      <alignment vertical="top"/>
      <protection/>
    </xf>
    <xf numFmtId="0" fontId="0" fillId="4" borderId="84" xfId="0" applyFill="1" applyBorder="1" applyAlignment="1" applyProtection="1">
      <alignment vertical="top"/>
      <protection/>
    </xf>
    <xf numFmtId="0" fontId="0" fillId="24" borderId="38" xfId="0" applyFill="1" applyBorder="1" applyAlignment="1" applyProtection="1">
      <alignment vertical="top"/>
      <protection/>
    </xf>
    <xf numFmtId="0" fontId="0" fillId="24" borderId="20" xfId="0" applyFill="1" applyBorder="1" applyAlignment="1" applyProtection="1">
      <alignment vertical="top"/>
      <protection/>
    </xf>
    <xf numFmtId="0" fontId="0" fillId="24" borderId="29" xfId="0" applyFill="1" applyBorder="1" applyAlignment="1" applyProtection="1">
      <alignment vertical="top"/>
      <protection/>
    </xf>
    <xf numFmtId="0" fontId="0" fillId="4" borderId="20" xfId="0" applyFill="1" applyBorder="1" applyAlignment="1" applyProtection="1">
      <alignment vertical="top"/>
      <protection/>
    </xf>
    <xf numFmtId="0" fontId="0" fillId="4" borderId="21" xfId="0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vertical="top"/>
      <protection/>
    </xf>
    <xf numFmtId="0" fontId="3" fillId="10" borderId="64" xfId="0" applyNumberFormat="1" applyFont="1" applyFill="1" applyBorder="1" applyAlignment="1" applyProtection="1">
      <alignment horizontal="left" vertical="center" wrapText="1"/>
      <protection/>
    </xf>
    <xf numFmtId="0" fontId="40" fillId="24" borderId="85" xfId="0" applyNumberFormat="1" applyFont="1" applyFill="1" applyBorder="1" applyAlignment="1" applyProtection="1">
      <alignment horizontal="left" vertical="top" wrapText="1"/>
      <protection/>
    </xf>
    <xf numFmtId="0" fontId="0" fillId="24" borderId="0" xfId="0" applyFill="1" applyAlignment="1" applyProtection="1">
      <alignment horizontal="left" vertical="top" wrapText="1"/>
      <protection/>
    </xf>
    <xf numFmtId="0" fontId="40" fillId="24" borderId="0" xfId="0" applyNumberFormat="1" applyFont="1" applyFill="1" applyAlignment="1" applyProtection="1">
      <alignment horizontal="left" vertical="top" wrapText="1"/>
      <protection/>
    </xf>
    <xf numFmtId="0" fontId="27" fillId="24" borderId="0" xfId="0" applyFont="1" applyFill="1" applyAlignment="1" applyProtection="1">
      <alignment horizontal="left" vertical="top" wrapText="1"/>
      <protection/>
    </xf>
    <xf numFmtId="0" fontId="40" fillId="24" borderId="86" xfId="0" applyNumberFormat="1" applyFont="1" applyFill="1" applyBorder="1" applyAlignment="1" applyProtection="1">
      <alignment horizontal="left" vertical="top" wrapText="1"/>
      <protection/>
    </xf>
    <xf numFmtId="0" fontId="7" fillId="24" borderId="0" xfId="0" applyFont="1" applyFill="1" applyAlignment="1" applyProtection="1">
      <alignment horizontal="left" vertical="top" wrapText="1"/>
      <protection/>
    </xf>
    <xf numFmtId="0" fontId="32" fillId="24" borderId="0" xfId="0" applyFont="1" applyFill="1" applyAlignment="1" applyProtection="1">
      <alignment horizontal="left" vertical="top" wrapText="1"/>
      <protection/>
    </xf>
    <xf numFmtId="0" fontId="50" fillId="24" borderId="0" xfId="0" applyFont="1" applyFill="1" applyAlignment="1" applyProtection="1">
      <alignment horizontal="left" vertical="top" wrapText="1"/>
      <protection/>
    </xf>
    <xf numFmtId="0" fontId="3" fillId="24" borderId="0" xfId="0" applyFont="1" applyFill="1" applyAlignment="1" applyProtection="1">
      <alignment horizontal="left" vertical="top" wrapText="1"/>
      <protection/>
    </xf>
    <xf numFmtId="0" fontId="5" fillId="24" borderId="0" xfId="65" applyFill="1" applyAlignment="1" applyProtection="1">
      <alignment horizontal="left" vertical="top" wrapText="1"/>
      <protection/>
    </xf>
    <xf numFmtId="0" fontId="2" fillId="26" borderId="0" xfId="0" applyFont="1" applyFill="1" applyBorder="1" applyAlignment="1" applyProtection="1">
      <alignment horizontal="left" vertical="top" wrapText="1"/>
      <protection/>
    </xf>
    <xf numFmtId="0" fontId="3" fillId="24" borderId="10" xfId="0" applyFont="1" applyFill="1" applyBorder="1" applyAlignment="1" applyProtection="1">
      <alignment horizontal="left" vertical="top" wrapText="1"/>
      <protection/>
    </xf>
    <xf numFmtId="0" fontId="28" fillId="24" borderId="10" xfId="0" applyFont="1" applyFill="1" applyBorder="1" applyAlignment="1" applyProtection="1">
      <alignment horizontal="left" vertical="top" wrapText="1"/>
      <protection/>
    </xf>
    <xf numFmtId="0" fontId="1" fillId="0" borderId="0" xfId="74" applyAlignment="1" applyProtection="1">
      <alignment horizontal="center"/>
      <protection/>
    </xf>
    <xf numFmtId="14" fontId="0" fillId="18" borderId="87" xfId="0" applyNumberFormat="1" applyFill="1" applyBorder="1" applyAlignment="1" applyProtection="1">
      <alignment horizontal="center"/>
      <protection/>
    </xf>
    <xf numFmtId="0" fontId="30" fillId="21" borderId="77" xfId="65" applyFont="1" applyFill="1" applyBorder="1" applyAlignment="1" applyProtection="1">
      <alignment horizontal="left" vertical="top" wrapText="1"/>
      <protection/>
    </xf>
    <xf numFmtId="0" fontId="30" fillId="21" borderId="40" xfId="65" applyFont="1" applyFill="1" applyBorder="1" applyAlignment="1" applyProtection="1">
      <alignment horizontal="left" vertical="top" wrapText="1"/>
      <protection/>
    </xf>
    <xf numFmtId="0" fontId="30" fillId="21" borderId="39" xfId="65" applyFont="1" applyFill="1" applyBorder="1" applyAlignment="1" applyProtection="1">
      <alignment horizontal="left" vertical="top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ill="1" applyBorder="1" applyAlignment="1" applyProtection="1">
      <alignment horizontal="left" vertical="top" wrapText="1"/>
      <protection/>
    </xf>
    <xf numFmtId="0" fontId="6" fillId="24" borderId="0" xfId="0" applyFont="1" applyFill="1" applyAlignment="1" applyProtection="1">
      <alignment horizontal="left" vertical="top" wrapText="1"/>
      <protection/>
    </xf>
    <xf numFmtId="0" fontId="49" fillId="24" borderId="0" xfId="0" applyFont="1" applyFill="1" applyAlignment="1" applyProtection="1">
      <alignment horizontal="left" vertical="top" wrapText="1"/>
      <protection/>
    </xf>
    <xf numFmtId="0" fontId="48" fillId="24" borderId="0" xfId="0" applyFont="1" applyFill="1" applyAlignment="1" applyProtection="1">
      <alignment horizontal="left" vertical="top" wrapText="1"/>
      <protection/>
    </xf>
    <xf numFmtId="0" fontId="7" fillId="24" borderId="10" xfId="0" applyFont="1" applyFill="1" applyBorder="1" applyAlignment="1" applyProtection="1">
      <alignment horizontal="left" vertical="top" wrapText="1"/>
      <protection/>
    </xf>
    <xf numFmtId="0" fontId="48" fillId="24" borderId="88" xfId="0" applyFont="1" applyFill="1" applyBorder="1" applyAlignment="1" applyProtection="1">
      <alignment horizontal="left" vertical="top" wrapText="1"/>
      <protection/>
    </xf>
    <xf numFmtId="0" fontId="3" fillId="21" borderId="40" xfId="0" applyFont="1" applyFill="1" applyBorder="1" applyAlignment="1" applyProtection="1">
      <alignment horizontal="left" vertical="center" wrapText="1"/>
      <protection/>
    </xf>
    <xf numFmtId="0" fontId="5" fillId="21" borderId="89" xfId="65" applyFill="1" applyBorder="1" applyAlignment="1" applyProtection="1">
      <alignment horizontal="left" vertical="top" wrapText="1"/>
      <protection/>
    </xf>
    <xf numFmtId="0" fontId="5" fillId="21" borderId="90" xfId="65" applyFill="1" applyBorder="1" applyAlignment="1" applyProtection="1">
      <alignment horizontal="left" vertical="top" wrapText="1"/>
      <protection/>
    </xf>
    <xf numFmtId="0" fontId="5" fillId="21" borderId="67" xfId="65" applyFill="1" applyBorder="1" applyAlignment="1" applyProtection="1">
      <alignment horizontal="left" vertical="top" wrapText="1"/>
      <protection/>
    </xf>
    <xf numFmtId="0" fontId="5" fillId="21" borderId="73" xfId="65" applyFill="1" applyBorder="1" applyAlignment="1" applyProtection="1">
      <alignment horizontal="left" vertical="top" wrapText="1"/>
      <protection/>
    </xf>
    <xf numFmtId="0" fontId="28" fillId="24" borderId="0" xfId="0" applyFont="1" applyFill="1" applyAlignment="1" applyProtection="1">
      <alignment horizontal="left" vertical="top" wrapText="1"/>
      <protection/>
    </xf>
    <xf numFmtId="0" fontId="0" fillId="24" borderId="0" xfId="0" applyFont="1" applyFill="1" applyAlignment="1" applyProtection="1">
      <alignment horizontal="left" vertical="top" wrapText="1"/>
      <protection/>
    </xf>
    <xf numFmtId="0" fontId="0" fillId="24" borderId="91" xfId="0" applyFont="1" applyFill="1" applyBorder="1" applyAlignment="1" applyProtection="1">
      <alignment horizontal="left" vertical="top" wrapText="1"/>
      <protection/>
    </xf>
    <xf numFmtId="0" fontId="0" fillId="24" borderId="92" xfId="0" applyFont="1" applyFill="1" applyBorder="1" applyAlignment="1" applyProtection="1">
      <alignment horizontal="left" vertical="top" wrapText="1"/>
      <protection/>
    </xf>
    <xf numFmtId="0" fontId="0" fillId="24" borderId="93" xfId="0" applyFont="1" applyFill="1" applyBorder="1" applyAlignment="1" applyProtection="1">
      <alignment horizontal="left" vertical="top" wrapText="1"/>
      <protection/>
    </xf>
    <xf numFmtId="0" fontId="3" fillId="24" borderId="28" xfId="0" applyNumberFormat="1" applyFont="1" applyFill="1" applyBorder="1" applyAlignment="1" applyProtection="1">
      <alignment horizontal="left" wrapText="1"/>
      <protection/>
    </xf>
    <xf numFmtId="0" fontId="3" fillId="24" borderId="94" xfId="0" applyNumberFormat="1" applyFont="1" applyFill="1" applyBorder="1" applyAlignment="1" applyProtection="1">
      <alignment horizontal="left" wrapText="1"/>
      <protection/>
    </xf>
    <xf numFmtId="0" fontId="3" fillId="2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94" xfId="0" applyNumberFormat="1" applyFont="1" applyFill="1" applyBorder="1" applyAlignment="1" applyProtection="1">
      <alignment horizontal="left" wrapText="1"/>
      <protection/>
    </xf>
    <xf numFmtId="0" fontId="3" fillId="24" borderId="94" xfId="0" applyFont="1" applyFill="1" applyBorder="1" applyAlignment="1" applyProtection="1">
      <alignment horizontal="left" vertical="top" wrapText="1"/>
      <protection/>
    </xf>
    <xf numFmtId="0" fontId="7" fillId="24" borderId="0" xfId="0" applyFont="1" applyFill="1" applyBorder="1" applyAlignment="1" applyProtection="1">
      <alignment horizontal="left" vertical="top" wrapText="1"/>
      <protection/>
    </xf>
    <xf numFmtId="0" fontId="3" fillId="24" borderId="0" xfId="0" applyNumberFormat="1" applyFont="1" applyFill="1" applyBorder="1" applyAlignment="1" applyProtection="1">
      <alignment horizontal="left" vertical="top"/>
      <protection/>
    </xf>
    <xf numFmtId="0" fontId="0" fillId="27" borderId="0" xfId="0" applyFill="1" applyAlignment="1" applyProtection="1">
      <alignment/>
      <protection/>
    </xf>
    <xf numFmtId="0" fontId="37" fillId="24" borderId="0" xfId="0" applyNumberFormat="1" applyFont="1" applyFill="1" applyBorder="1" applyAlignment="1" applyProtection="1">
      <alignment vertical="top"/>
      <protection/>
    </xf>
    <xf numFmtId="0" fontId="2" fillId="26" borderId="0" xfId="0" applyFont="1" applyFill="1" applyBorder="1" applyAlignment="1" applyProtection="1">
      <alignment horizontal="left" vertical="center"/>
      <protection/>
    </xf>
    <xf numFmtId="0" fontId="37" fillId="24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 horizontal="right" vertical="top"/>
      <protection/>
    </xf>
    <xf numFmtId="0" fontId="37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left"/>
      <protection/>
    </xf>
    <xf numFmtId="0" fontId="0" fillId="28" borderId="11" xfId="0" applyNumberFormat="1" applyFont="1" applyFill="1" applyBorder="1" applyAlignment="1" applyProtection="1">
      <alignment horizontal="center" vertical="top"/>
      <protection locked="0"/>
    </xf>
    <xf numFmtId="0" fontId="0" fillId="24" borderId="10" xfId="0" applyFill="1" applyBorder="1" applyAlignment="1" applyProtection="1">
      <alignment/>
      <protection/>
    </xf>
    <xf numFmtId="0" fontId="37" fillId="0" borderId="0" xfId="0" applyFont="1" applyAlignment="1" applyProtection="1">
      <alignment wrapText="1"/>
      <protection/>
    </xf>
    <xf numFmtId="0" fontId="37" fillId="0" borderId="0" xfId="0" applyFont="1" applyAlignment="1" applyProtection="1">
      <alignment/>
      <protection/>
    </xf>
    <xf numFmtId="0" fontId="0" fillId="25" borderId="0" xfId="0" applyNumberFormat="1" applyFont="1" applyFill="1" applyBorder="1" applyAlignment="1" applyProtection="1">
      <alignment horizontal="center" vertical="top"/>
      <protection/>
    </xf>
    <xf numFmtId="0" fontId="0" fillId="25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 vertical="center"/>
      <protection/>
    </xf>
    <xf numFmtId="0" fontId="2" fillId="26" borderId="0" xfId="0" applyFont="1" applyFill="1" applyBorder="1" applyAlignment="1" applyProtection="1">
      <alignment vertical="center"/>
      <protection/>
    </xf>
    <xf numFmtId="0" fontId="0" fillId="24" borderId="0" xfId="0" applyNumberFormat="1" applyFont="1" applyFill="1" applyBorder="1" applyAlignment="1" applyProtection="1">
      <alignment vertical="center"/>
      <protection/>
    </xf>
    <xf numFmtId="0" fontId="0" fillId="6" borderId="0" xfId="0" applyNumberFormat="1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24" borderId="0" xfId="0" applyFont="1" applyFill="1" applyAlignment="1" applyProtection="1">
      <alignment horizontal="center" vertical="center"/>
      <protection/>
    </xf>
    <xf numFmtId="0" fontId="37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 wrapText="1"/>
      <protection/>
    </xf>
    <xf numFmtId="0" fontId="0" fillId="6" borderId="0" xfId="0" applyFont="1" applyFill="1" applyAlignment="1" applyProtection="1">
      <alignment/>
      <protection/>
    </xf>
    <xf numFmtId="0" fontId="0" fillId="6" borderId="95" xfId="0" applyFont="1" applyFill="1" applyBorder="1" applyAlignment="1" applyProtection="1">
      <alignment horizontal="center" vertical="top"/>
      <protection/>
    </xf>
    <xf numFmtId="0" fontId="0" fillId="6" borderId="37" xfId="0" applyFont="1" applyFill="1" applyBorder="1" applyAlignment="1" applyProtection="1">
      <alignment horizontal="center"/>
      <protection/>
    </xf>
    <xf numFmtId="0" fontId="0" fillId="6" borderId="11" xfId="0" applyNumberFormat="1" applyFont="1" applyFill="1" applyBorder="1" applyAlignment="1" applyProtection="1">
      <alignment horizontal="center" vertical="top"/>
      <protection/>
    </xf>
    <xf numFmtId="0" fontId="0" fillId="6" borderId="11" xfId="0" applyNumberFormat="1" applyFont="1" applyFill="1" applyBorder="1" applyAlignment="1" applyProtection="1">
      <alignment vertical="top"/>
      <protection/>
    </xf>
    <xf numFmtId="0" fontId="0" fillId="24" borderId="96" xfId="0" applyNumberFormat="1" applyFont="1" applyFill="1" applyBorder="1" applyAlignment="1" applyProtection="1">
      <alignment vertical="top"/>
      <protection/>
    </xf>
    <xf numFmtId="0" fontId="0" fillId="6" borderId="0" xfId="0" applyNumberFormat="1" applyFont="1" applyFill="1" applyBorder="1" applyAlignment="1" applyProtection="1">
      <alignment horizontal="center" vertical="top"/>
      <protection/>
    </xf>
    <xf numFmtId="188" fontId="0" fillId="28" borderId="35" xfId="0" applyNumberFormat="1" applyFont="1" applyFill="1" applyBorder="1" applyAlignment="1" applyProtection="1">
      <alignment vertical="top"/>
      <protection locked="0"/>
    </xf>
    <xf numFmtId="188" fontId="0" fillId="28" borderId="97" xfId="0" applyNumberFormat="1" applyFont="1" applyFill="1" applyBorder="1" applyAlignment="1" applyProtection="1">
      <alignment vertical="top"/>
      <protection locked="0"/>
    </xf>
    <xf numFmtId="0" fontId="3" fillId="24" borderId="94" xfId="0" applyNumberFormat="1" applyFont="1" applyFill="1" applyBorder="1" applyAlignment="1" applyProtection="1">
      <alignment horizontal="center" wrapText="1"/>
      <protection/>
    </xf>
    <xf numFmtId="0" fontId="0" fillId="6" borderId="98" xfId="0" applyNumberFormat="1" applyFont="1" applyFill="1" applyBorder="1" applyAlignment="1" applyProtection="1">
      <alignment vertical="top"/>
      <protection/>
    </xf>
    <xf numFmtId="0" fontId="0" fillId="6" borderId="99" xfId="0" applyNumberFormat="1" applyFont="1" applyFill="1" applyBorder="1" applyAlignment="1" applyProtection="1">
      <alignment vertical="top"/>
      <protection/>
    </xf>
    <xf numFmtId="0" fontId="0" fillId="6" borderId="100" xfId="0" applyNumberFormat="1" applyFont="1" applyFill="1" applyBorder="1" applyAlignment="1" applyProtection="1">
      <alignment vertical="top"/>
      <protection/>
    </xf>
    <xf numFmtId="0" fontId="0" fillId="6" borderId="98" xfId="0" applyNumberFormat="1" applyFont="1" applyFill="1" applyBorder="1" applyAlignment="1" applyProtection="1">
      <alignment horizontal="center" vertical="top"/>
      <protection/>
    </xf>
    <xf numFmtId="0" fontId="0" fillId="6" borderId="99" xfId="0" applyNumberFormat="1" applyFont="1" applyFill="1" applyBorder="1" applyAlignment="1" applyProtection="1">
      <alignment horizontal="center" vertical="top"/>
      <protection/>
    </xf>
    <xf numFmtId="0" fontId="0" fillId="6" borderId="100" xfId="0" applyNumberFormat="1" applyFont="1" applyFill="1" applyBorder="1" applyAlignment="1" applyProtection="1">
      <alignment horizontal="center" vertical="top"/>
      <protection/>
    </xf>
    <xf numFmtId="0" fontId="0" fillId="6" borderId="0" xfId="0" applyNumberFormat="1" applyFont="1" applyFill="1" applyBorder="1" applyAlignment="1" applyProtection="1">
      <alignment horizontal="left" vertical="top"/>
      <protection/>
    </xf>
    <xf numFmtId="0" fontId="0" fillId="0" borderId="101" xfId="0" applyNumberFormat="1" applyFont="1" applyFill="1" applyBorder="1" applyAlignment="1" applyProtection="1">
      <alignment vertical="top"/>
      <protection/>
    </xf>
    <xf numFmtId="0" fontId="0" fillId="0" borderId="102" xfId="0" applyNumberFormat="1" applyFont="1" applyFill="1" applyBorder="1" applyAlignment="1" applyProtection="1">
      <alignment vertical="top"/>
      <protection/>
    </xf>
    <xf numFmtId="0" fontId="0" fillId="0" borderId="102" xfId="0" applyNumberFormat="1" applyFont="1" applyFill="1" applyBorder="1" applyAlignment="1" applyProtection="1">
      <alignment horizontal="center" vertical="top"/>
      <protection/>
    </xf>
    <xf numFmtId="0" fontId="0" fillId="0" borderId="103" xfId="0" applyNumberFormat="1" applyFont="1" applyFill="1" applyBorder="1" applyAlignment="1" applyProtection="1">
      <alignment horizontal="center" vertical="top"/>
      <protection/>
    </xf>
    <xf numFmtId="2" fontId="0" fillId="25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25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6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24" borderId="96" xfId="0" applyNumberFormat="1" applyFont="1" applyFill="1" applyBorder="1" applyAlignment="1" applyProtection="1">
      <alignment horizontal="left" vertical="center" wrapText="1"/>
      <protection/>
    </xf>
    <xf numFmtId="0" fontId="0" fillId="24" borderId="96" xfId="0" applyNumberFormat="1" applyFont="1" applyFill="1" applyBorder="1" applyAlignment="1" applyProtection="1">
      <alignment horizontal="center" vertical="top"/>
      <protection/>
    </xf>
    <xf numFmtId="0" fontId="0" fillId="25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wrapText="1"/>
      <protection/>
    </xf>
    <xf numFmtId="14" fontId="3" fillId="24" borderId="96" xfId="0" applyNumberFormat="1" applyFont="1" applyFill="1" applyBorder="1" applyAlignment="1" applyProtection="1">
      <alignment horizontal="center" vertical="top"/>
      <protection/>
    </xf>
    <xf numFmtId="0" fontId="0" fillId="4" borderId="74" xfId="0" applyFont="1" applyFill="1" applyBorder="1" applyAlignment="1" applyProtection="1">
      <alignment/>
      <protection/>
    </xf>
    <xf numFmtId="0" fontId="31" fillId="4" borderId="88" xfId="0" applyNumberFormat="1" applyFont="1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/>
      <protection/>
    </xf>
    <xf numFmtId="0" fontId="37" fillId="24" borderId="0" xfId="0" applyFont="1" applyFill="1" applyAlignment="1" applyProtection="1">
      <alignment/>
      <protection/>
    </xf>
    <xf numFmtId="0" fontId="0" fillId="24" borderId="13" xfId="0" applyFont="1" applyFill="1" applyBorder="1" applyAlignment="1" applyProtection="1">
      <alignment horizontal="right" vertical="top" indent="1"/>
      <protection/>
    </xf>
    <xf numFmtId="0" fontId="0" fillId="24" borderId="14" xfId="0" applyFont="1" applyFill="1" applyBorder="1" applyAlignment="1" applyProtection="1">
      <alignment horizontal="right" vertical="top" indent="1"/>
      <protection/>
    </xf>
    <xf numFmtId="0" fontId="0" fillId="24" borderId="15" xfId="0" applyFont="1" applyFill="1" applyBorder="1" applyAlignment="1" applyProtection="1">
      <alignment horizontal="right" vertical="top" inden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1" fillId="0" borderId="11" xfId="74" applyBorder="1" applyAlignment="1" applyProtection="1">
      <alignment horizontal="center" vertical="top"/>
      <protection/>
    </xf>
    <xf numFmtId="197" fontId="0" fillId="29" borderId="0" xfId="0" applyNumberFormat="1" applyFill="1" applyAlignment="1" applyProtection="1">
      <alignment/>
      <protection/>
    </xf>
    <xf numFmtId="0" fontId="3" fillId="29" borderId="0" xfId="0" applyFont="1" applyFill="1" applyAlignment="1" applyProtection="1">
      <alignment horizontal="right" wrapText="1"/>
      <protection/>
    </xf>
    <xf numFmtId="197" fontId="0" fillId="0" borderId="11" xfId="0" applyNumberFormat="1" applyFill="1" applyBorder="1" applyAlignment="1" applyProtection="1">
      <alignment/>
      <protection/>
    </xf>
    <xf numFmtId="0" fontId="3" fillId="24" borderId="94" xfId="0" applyNumberFormat="1" applyFont="1" applyFill="1" applyBorder="1" applyAlignment="1" applyProtection="1">
      <alignment wrapText="1"/>
      <protection/>
    </xf>
    <xf numFmtId="188" fontId="0" fillId="30" borderId="79" xfId="0" applyNumberFormat="1" applyFont="1" applyFill="1" applyBorder="1" applyAlignment="1" applyProtection="1">
      <alignment vertical="top"/>
      <protection/>
    </xf>
    <xf numFmtId="188" fontId="0" fillId="30" borderId="97" xfId="0" applyNumberFormat="1" applyFont="1" applyFill="1" applyBorder="1" applyAlignment="1" applyProtection="1">
      <alignment vertical="top"/>
      <protection/>
    </xf>
    <xf numFmtId="188" fontId="0" fillId="30" borderId="35" xfId="0" applyNumberFormat="1" applyFont="1" applyFill="1" applyBorder="1" applyAlignment="1" applyProtection="1">
      <alignment vertical="top"/>
      <protection/>
    </xf>
    <xf numFmtId="188" fontId="0" fillId="30" borderId="34" xfId="0" applyNumberFormat="1" applyFont="1" applyFill="1" applyBorder="1" applyAlignment="1" applyProtection="1">
      <alignment vertical="top"/>
      <protection/>
    </xf>
    <xf numFmtId="188" fontId="0" fillId="30" borderId="104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wrapText="1"/>
      <protection/>
    </xf>
    <xf numFmtId="0" fontId="0" fillId="24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7" fillId="24" borderId="0" xfId="0" applyFont="1" applyFill="1" applyAlignment="1" applyProtection="1">
      <alignment wrapText="1"/>
      <protection/>
    </xf>
    <xf numFmtId="0" fontId="3" fillId="24" borderId="0" xfId="0" applyFont="1" applyFill="1" applyAlignment="1" applyProtection="1">
      <alignment wrapText="1"/>
      <protection/>
    </xf>
    <xf numFmtId="0" fontId="31" fillId="4" borderId="105" xfId="0" applyNumberFormat="1" applyFont="1" applyFill="1" applyBorder="1" applyAlignment="1" applyProtection="1">
      <alignment horizontal="center" vertical="top"/>
      <protection/>
    </xf>
    <xf numFmtId="0" fontId="31" fillId="4" borderId="106" xfId="0" applyNumberFormat="1" applyFont="1" applyFill="1" applyBorder="1" applyAlignment="1" applyProtection="1">
      <alignment horizontal="center" vertical="top"/>
      <protection/>
    </xf>
    <xf numFmtId="0" fontId="31" fillId="4" borderId="107" xfId="0" applyNumberFormat="1" applyFont="1" applyFill="1" applyBorder="1" applyAlignment="1" applyProtection="1">
      <alignment horizontal="center" vertical="top"/>
      <protection/>
    </xf>
    <xf numFmtId="0" fontId="31" fillId="4" borderId="108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31" borderId="0" xfId="0" applyFont="1" applyFill="1" applyBorder="1" applyAlignment="1" applyProtection="1">
      <alignment vertical="top"/>
      <protection/>
    </xf>
    <xf numFmtId="0" fontId="0" fillId="31" borderId="0" xfId="0" applyFill="1" applyBorder="1" applyAlignment="1" applyProtection="1">
      <alignment vertical="top" wrapText="1"/>
      <protection/>
    </xf>
    <xf numFmtId="0" fontId="0" fillId="31" borderId="19" xfId="0" applyNumberFormat="1" applyFont="1" applyFill="1" applyBorder="1" applyAlignment="1" applyProtection="1">
      <alignment vertical="top"/>
      <protection/>
    </xf>
    <xf numFmtId="0" fontId="37" fillId="24" borderId="19" xfId="0" applyNumberFormat="1" applyFont="1" applyFill="1" applyBorder="1" applyAlignment="1" applyProtection="1">
      <alignment vertical="top"/>
      <protection/>
    </xf>
    <xf numFmtId="0" fontId="0" fillId="24" borderId="19" xfId="0" applyNumberFormat="1" applyFont="1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 wrapText="1"/>
      <protection/>
    </xf>
    <xf numFmtId="0" fontId="0" fillId="24" borderId="109" xfId="0" applyNumberFormat="1" applyFont="1" applyFill="1" applyBorder="1" applyAlignment="1" applyProtection="1">
      <alignment horizontal="center" vertical="top"/>
      <protection/>
    </xf>
    <xf numFmtId="188" fontId="0" fillId="30" borderId="102" xfId="0" applyNumberFormat="1" applyFont="1" applyFill="1" applyBorder="1" applyAlignment="1" applyProtection="1">
      <alignment vertical="top"/>
      <protection/>
    </xf>
    <xf numFmtId="188" fontId="0" fillId="28" borderId="102" xfId="0" applyNumberFormat="1" applyFont="1" applyFill="1" applyBorder="1" applyAlignment="1" applyProtection="1">
      <alignment vertical="top"/>
      <protection locked="0"/>
    </xf>
    <xf numFmtId="0" fontId="3" fillId="24" borderId="39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31" borderId="39" xfId="0" applyNumberFormat="1" applyFont="1" applyFill="1" applyBorder="1" applyAlignment="1" applyProtection="1">
      <alignment horizontal="center" wrapText="1"/>
      <protection/>
    </xf>
    <xf numFmtId="0" fontId="0" fillId="24" borderId="110" xfId="0" applyNumberFormat="1" applyFont="1" applyFill="1" applyBorder="1" applyAlignment="1" applyProtection="1">
      <alignment horizontal="center" vertical="top"/>
      <protection/>
    </xf>
    <xf numFmtId="0" fontId="3" fillId="31" borderId="111" xfId="0" applyNumberFormat="1" applyFont="1" applyFill="1" applyBorder="1" applyAlignment="1" applyProtection="1">
      <alignment horizontal="center" wrapText="1"/>
      <protection/>
    </xf>
    <xf numFmtId="0" fontId="3" fillId="31" borderId="112" xfId="0" applyNumberFormat="1" applyFont="1" applyFill="1" applyBorder="1" applyAlignment="1" applyProtection="1">
      <alignment horizontal="center" wrapText="1"/>
      <protection/>
    </xf>
    <xf numFmtId="0" fontId="3" fillId="31" borderId="94" xfId="0" applyNumberFormat="1" applyFont="1" applyFill="1" applyBorder="1" applyAlignment="1" applyProtection="1">
      <alignment horizontal="center" wrapText="1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3" fillId="32" borderId="0" xfId="0" applyNumberFormat="1" applyFont="1" applyFill="1" applyBorder="1" applyAlignment="1" applyProtection="1">
      <alignment horizontal="center" vertical="top"/>
      <protection/>
    </xf>
    <xf numFmtId="0" fontId="3" fillId="32" borderId="37" xfId="0" applyNumberFormat="1" applyFont="1" applyFill="1" applyBorder="1" applyAlignment="1" applyProtection="1">
      <alignment vertical="top"/>
      <protection/>
    </xf>
    <xf numFmtId="203" fontId="0" fillId="32" borderId="102" xfId="72" applyNumberFormat="1" applyFont="1" applyFill="1" applyBorder="1" applyAlignment="1" applyProtection="1">
      <alignment vertical="top"/>
      <protection/>
    </xf>
    <xf numFmtId="188" fontId="0" fillId="32" borderId="79" xfId="0" applyNumberFormat="1" applyFont="1" applyFill="1" applyBorder="1" applyAlignment="1" applyProtection="1">
      <alignment vertical="top"/>
      <protection/>
    </xf>
    <xf numFmtId="203" fontId="0" fillId="32" borderId="97" xfId="72" applyNumberFormat="1" applyFont="1" applyFill="1" applyBorder="1" applyAlignment="1" applyProtection="1">
      <alignment vertical="top"/>
      <protection/>
    </xf>
    <xf numFmtId="188" fontId="0" fillId="32" borderId="97" xfId="0" applyNumberFormat="1" applyFont="1" applyFill="1" applyBorder="1" applyAlignment="1" applyProtection="1">
      <alignment vertical="top"/>
      <protection/>
    </xf>
    <xf numFmtId="203" fontId="0" fillId="32" borderId="35" xfId="72" applyNumberFormat="1" applyFont="1" applyFill="1" applyBorder="1" applyAlignment="1" applyProtection="1">
      <alignment vertical="top"/>
      <protection/>
    </xf>
    <xf numFmtId="188" fontId="0" fillId="32" borderId="35" xfId="0" applyNumberFormat="1" applyFont="1" applyFill="1" applyBorder="1" applyAlignment="1" applyProtection="1">
      <alignment vertical="top"/>
      <protection/>
    </xf>
    <xf numFmtId="203" fontId="0" fillId="32" borderId="34" xfId="72" applyNumberFormat="1" applyFont="1" applyFill="1" applyBorder="1" applyAlignment="1" applyProtection="1">
      <alignment vertical="top"/>
      <protection/>
    </xf>
    <xf numFmtId="188" fontId="0" fillId="32" borderId="34" xfId="0" applyNumberFormat="1" applyFont="1" applyFill="1" applyBorder="1" applyAlignment="1" applyProtection="1">
      <alignment vertical="top"/>
      <protection/>
    </xf>
    <xf numFmtId="203" fontId="0" fillId="32" borderId="104" xfId="72" applyNumberFormat="1" applyFont="1" applyFill="1" applyBorder="1" applyAlignment="1" applyProtection="1">
      <alignment vertical="top"/>
      <protection/>
    </xf>
    <xf numFmtId="188" fontId="0" fillId="32" borderId="104" xfId="0" applyNumberFormat="1" applyFont="1" applyFill="1" applyBorder="1" applyAlignment="1" applyProtection="1">
      <alignment vertical="top"/>
      <protection/>
    </xf>
    <xf numFmtId="203" fontId="0" fillId="32" borderId="102" xfId="72" applyNumberFormat="1" applyFont="1" applyFill="1" applyBorder="1" applyAlignment="1" applyProtection="1">
      <alignment vertical="top"/>
      <protection/>
    </xf>
    <xf numFmtId="188" fontId="0" fillId="32" borderId="102" xfId="0" applyNumberFormat="1" applyFont="1" applyFill="1" applyBorder="1" applyAlignment="1" applyProtection="1">
      <alignment vertical="top"/>
      <protection/>
    </xf>
    <xf numFmtId="0" fontId="3" fillId="32" borderId="78" xfId="0" applyNumberFormat="1" applyFont="1" applyFill="1" applyBorder="1" applyAlignment="1" applyProtection="1">
      <alignment horizontal="center" wrapText="1"/>
      <protection/>
    </xf>
    <xf numFmtId="0" fontId="3" fillId="32" borderId="0" xfId="0" applyNumberFormat="1" applyFont="1" applyFill="1" applyBorder="1" applyAlignment="1" applyProtection="1">
      <alignment horizontal="center" wrapText="1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0" fillId="32" borderId="0" xfId="0" applyFont="1" applyFill="1" applyAlignment="1" applyProtection="1">
      <alignment/>
      <protection/>
    </xf>
    <xf numFmtId="0" fontId="0" fillId="32" borderId="95" xfId="0" applyFont="1" applyFill="1" applyBorder="1" applyAlignment="1" applyProtection="1">
      <alignment horizontal="center" vertical="top" wrapText="1"/>
      <protection/>
    </xf>
    <xf numFmtId="0" fontId="3" fillId="32" borderId="77" xfId="0" applyNumberFormat="1" applyFont="1" applyFill="1" applyBorder="1" applyAlignment="1" applyProtection="1">
      <alignment horizontal="center" vertical="center"/>
      <protection/>
    </xf>
    <xf numFmtId="0" fontId="0" fillId="32" borderId="11" xfId="0" applyNumberFormat="1" applyFont="1" applyFill="1" applyBorder="1" applyAlignment="1" applyProtection="1">
      <alignment vertical="center"/>
      <protection/>
    </xf>
    <xf numFmtId="0" fontId="0" fillId="32" borderId="0" xfId="0" applyNumberFormat="1" applyFont="1" applyFill="1" applyBorder="1" applyAlignment="1" applyProtection="1">
      <alignment vertical="center"/>
      <protection/>
    </xf>
    <xf numFmtId="0" fontId="0" fillId="32" borderId="11" xfId="0" applyNumberFormat="1" applyFont="1" applyFill="1" applyBorder="1" applyAlignment="1" applyProtection="1">
      <alignment horizontal="center" vertical="top"/>
      <protection/>
    </xf>
    <xf numFmtId="0" fontId="0" fillId="32" borderId="0" xfId="0" applyNumberFormat="1" applyFont="1" applyFill="1" applyBorder="1" applyAlignment="1" applyProtection="1">
      <alignment horizontal="center"/>
      <protection/>
    </xf>
    <xf numFmtId="0" fontId="0" fillId="32" borderId="11" xfId="0" applyNumberFormat="1" applyFont="1" applyFill="1" applyBorder="1" applyAlignment="1" applyProtection="1">
      <alignment vertical="top"/>
      <protection/>
    </xf>
    <xf numFmtId="0" fontId="3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NumberFormat="1" applyFont="1" applyFill="1" applyBorder="1" applyAlignment="1" applyProtection="1">
      <alignment vertical="top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98" xfId="0" applyNumberFormat="1" applyFont="1" applyFill="1" applyBorder="1" applyAlignment="1" applyProtection="1">
      <alignment horizontal="center" vertical="top"/>
      <protection/>
    </xf>
    <xf numFmtId="0" fontId="0" fillId="32" borderId="99" xfId="0" applyNumberFormat="1" applyFont="1" applyFill="1" applyBorder="1" applyAlignment="1" applyProtection="1">
      <alignment horizontal="center" vertical="top"/>
      <protection/>
    </xf>
    <xf numFmtId="0" fontId="0" fillId="32" borderId="100" xfId="0" applyNumberFormat="1" applyFont="1" applyFill="1" applyBorder="1" applyAlignment="1" applyProtection="1">
      <alignment horizontal="center" vertical="top"/>
      <protection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37" xfId="0" applyFont="1" applyFill="1" applyBorder="1" applyAlignment="1" applyProtection="1">
      <alignment horizontal="center"/>
      <protection/>
    </xf>
    <xf numFmtId="0" fontId="3" fillId="32" borderId="77" xfId="0" applyFont="1" applyFill="1" applyBorder="1" applyAlignment="1" applyProtection="1">
      <alignment horizontal="center" vertical="center"/>
      <protection/>
    </xf>
    <xf numFmtId="0" fontId="3" fillId="32" borderId="37" xfId="0" applyNumberFormat="1" applyFont="1" applyFill="1" applyBorder="1" applyAlignment="1" applyProtection="1">
      <alignment horizontal="center" wrapText="1"/>
      <protection/>
    </xf>
    <xf numFmtId="0" fontId="0" fillId="32" borderId="11" xfId="0" applyFont="1" applyFill="1" applyBorder="1" applyAlignment="1" applyProtection="1">
      <alignment horizontal="center"/>
      <protection/>
    </xf>
    <xf numFmtId="203" fontId="0" fillId="28" borderId="101" xfId="0" applyNumberFormat="1" applyFont="1" applyFill="1" applyBorder="1" applyAlignment="1" applyProtection="1">
      <alignment vertical="center"/>
      <protection locked="0"/>
    </xf>
    <xf numFmtId="0" fontId="0" fillId="24" borderId="109" xfId="0" applyFill="1" applyBorder="1" applyAlignment="1" applyProtection="1">
      <alignment vertical="center"/>
      <protection/>
    </xf>
    <xf numFmtId="0" fontId="0" fillId="24" borderId="103" xfId="0" applyFill="1" applyBorder="1" applyAlignment="1" applyProtection="1">
      <alignment vertical="center"/>
      <protection/>
    </xf>
    <xf numFmtId="203" fontId="0" fillId="30" borderId="101" xfId="0" applyNumberFormat="1" applyFont="1" applyFill="1" applyBorder="1" applyAlignment="1" applyProtection="1">
      <alignment vertical="center"/>
      <protection/>
    </xf>
    <xf numFmtId="0" fontId="0" fillId="24" borderId="102" xfId="0" applyFill="1" applyBorder="1" applyAlignment="1" applyProtection="1">
      <alignment vertical="center"/>
      <protection/>
    </xf>
    <xf numFmtId="0" fontId="0" fillId="24" borderId="113" xfId="0" applyFill="1" applyBorder="1" applyAlignment="1" applyProtection="1">
      <alignment vertical="center"/>
      <protection/>
    </xf>
    <xf numFmtId="188" fontId="69" fillId="30" borderId="102" xfId="0" applyNumberFormat="1" applyFont="1" applyFill="1" applyBorder="1" applyAlignment="1" applyProtection="1">
      <alignment horizontal="center" vertical="center"/>
      <protection/>
    </xf>
    <xf numFmtId="203" fontId="0" fillId="28" borderId="114" xfId="0" applyNumberFormat="1" applyFont="1" applyFill="1" applyBorder="1" applyAlignment="1" applyProtection="1">
      <alignment vertical="center"/>
      <protection locked="0"/>
    </xf>
    <xf numFmtId="203" fontId="0" fillId="30" borderId="114" xfId="0" applyNumberFormat="1" applyFont="1" applyFill="1" applyBorder="1" applyAlignment="1" applyProtection="1">
      <alignment vertical="center"/>
      <protection/>
    </xf>
    <xf numFmtId="188" fontId="69" fillId="30" borderId="97" xfId="0" applyNumberFormat="1" applyFont="1" applyFill="1" applyBorder="1" applyAlignment="1" applyProtection="1">
      <alignment horizontal="center" vertical="center"/>
      <protection/>
    </xf>
    <xf numFmtId="203" fontId="0" fillId="28" borderId="115" xfId="0" applyNumberFormat="1" applyFont="1" applyFill="1" applyBorder="1" applyAlignment="1" applyProtection="1">
      <alignment vertical="center"/>
      <protection locked="0"/>
    </xf>
    <xf numFmtId="203" fontId="0" fillId="30" borderId="115" xfId="0" applyNumberFormat="1" applyFont="1" applyFill="1" applyBorder="1" applyAlignment="1" applyProtection="1">
      <alignment vertical="center"/>
      <protection/>
    </xf>
    <xf numFmtId="188" fontId="69" fillId="30" borderId="35" xfId="0" applyNumberFormat="1" applyFont="1" applyFill="1" applyBorder="1" applyAlignment="1" applyProtection="1">
      <alignment horizontal="center" vertical="center"/>
      <protection/>
    </xf>
    <xf numFmtId="203" fontId="0" fillId="28" borderId="116" xfId="0" applyNumberFormat="1" applyFont="1" applyFill="1" applyBorder="1" applyAlignment="1" applyProtection="1">
      <alignment vertical="center"/>
      <protection locked="0"/>
    </xf>
    <xf numFmtId="203" fontId="0" fillId="30" borderId="116" xfId="0" applyNumberFormat="1" applyFont="1" applyFill="1" applyBorder="1" applyAlignment="1" applyProtection="1">
      <alignment vertical="center"/>
      <protection/>
    </xf>
    <xf numFmtId="188" fontId="69" fillId="30" borderId="34" xfId="0" applyNumberFormat="1" applyFont="1" applyFill="1" applyBorder="1" applyAlignment="1" applyProtection="1">
      <alignment horizontal="center" vertical="center"/>
      <protection/>
    </xf>
    <xf numFmtId="203" fontId="0" fillId="28" borderId="117" xfId="0" applyNumberFormat="1" applyFont="1" applyFill="1" applyBorder="1" applyAlignment="1" applyProtection="1">
      <alignment vertical="center"/>
      <protection locked="0"/>
    </xf>
    <xf numFmtId="203" fontId="0" fillId="30" borderId="117" xfId="0" applyNumberFormat="1" applyFont="1" applyFill="1" applyBorder="1" applyAlignment="1" applyProtection="1">
      <alignment vertical="center"/>
      <protection/>
    </xf>
    <xf numFmtId="188" fontId="69" fillId="30" borderId="104" xfId="0" applyNumberFormat="1" applyFont="1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vertical="center"/>
      <protection/>
    </xf>
    <xf numFmtId="0" fontId="70" fillId="2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Border="1" applyAlignment="1" applyProtection="1">
      <alignment/>
      <protection/>
    </xf>
    <xf numFmtId="0" fontId="0" fillId="4" borderId="118" xfId="0" applyFont="1" applyFill="1" applyBorder="1" applyAlignment="1" applyProtection="1">
      <alignment/>
      <protection/>
    </xf>
    <xf numFmtId="3" fontId="0" fillId="30" borderId="36" xfId="0" applyNumberFormat="1" applyFont="1" applyFill="1" applyBorder="1" applyAlignment="1" applyProtection="1">
      <alignment horizontal="center" vertical="top"/>
      <protection/>
    </xf>
    <xf numFmtId="3" fontId="0" fillId="30" borderId="35" xfId="0" applyNumberFormat="1" applyFont="1" applyFill="1" applyBorder="1" applyAlignment="1" applyProtection="1">
      <alignment horizontal="center" vertical="top"/>
      <protection/>
    </xf>
    <xf numFmtId="3" fontId="0" fillId="30" borderId="34" xfId="0" applyNumberFormat="1" applyFont="1" applyFill="1" applyBorder="1" applyAlignment="1" applyProtection="1">
      <alignment horizontal="center" vertical="top"/>
      <protection/>
    </xf>
    <xf numFmtId="3" fontId="0" fillId="30" borderId="97" xfId="0" applyNumberFormat="1" applyFont="1" applyFill="1" applyBorder="1" applyAlignment="1" applyProtection="1">
      <alignment horizontal="center" vertical="center"/>
      <protection/>
    </xf>
    <xf numFmtId="3" fontId="0" fillId="30" borderId="35" xfId="0" applyNumberFormat="1" applyFont="1" applyFill="1" applyBorder="1" applyAlignment="1" applyProtection="1">
      <alignment horizontal="center" vertical="center"/>
      <protection/>
    </xf>
    <xf numFmtId="3" fontId="0" fillId="30" borderId="104" xfId="0" applyNumberFormat="1" applyFont="1" applyFill="1" applyBorder="1" applyAlignment="1" applyProtection="1">
      <alignment horizontal="center" vertical="center"/>
      <protection/>
    </xf>
    <xf numFmtId="3" fontId="0" fillId="30" borderId="36" xfId="0" applyNumberFormat="1" applyFont="1" applyFill="1" applyBorder="1" applyAlignment="1" applyProtection="1">
      <alignment horizontal="center" vertical="center"/>
      <protection/>
    </xf>
    <xf numFmtId="3" fontId="0" fillId="30" borderId="34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49" fontId="3" fillId="24" borderId="0" xfId="0" applyNumberFormat="1" applyFont="1" applyFill="1" applyBorder="1" applyAlignment="1" applyProtection="1">
      <alignment horizontal="center" vertical="top"/>
      <protection/>
    </xf>
    <xf numFmtId="0" fontId="0" fillId="32" borderId="11" xfId="0" applyNumberFormat="1" applyFont="1" applyFill="1" applyBorder="1" applyAlignment="1" applyProtection="1">
      <alignment horizontal="center" vertical="center"/>
      <protection/>
    </xf>
    <xf numFmtId="49" fontId="0" fillId="6" borderId="11" xfId="0" applyNumberFormat="1" applyFont="1" applyFill="1" applyBorder="1" applyAlignment="1" applyProtection="1">
      <alignment vertical="top"/>
      <protection/>
    </xf>
    <xf numFmtId="0" fontId="0" fillId="24" borderId="0" xfId="0" applyNumberFormat="1" applyFont="1" applyFill="1" applyBorder="1" applyAlignment="1" applyProtection="1">
      <alignment horizontal="right" vertical="top" indent="1"/>
      <protection/>
    </xf>
    <xf numFmtId="14" fontId="0" fillId="4" borderId="11" xfId="0" applyNumberFormat="1" applyFont="1" applyFill="1" applyBorder="1" applyAlignment="1" applyProtection="1">
      <alignment horizontal="center" vertical="top" wrapText="1"/>
      <protection/>
    </xf>
    <xf numFmtId="0" fontId="0" fillId="32" borderId="86" xfId="0" applyFont="1" applyFill="1" applyBorder="1" applyAlignment="1" applyProtection="1">
      <alignment/>
      <protection/>
    </xf>
    <xf numFmtId="0" fontId="0" fillId="32" borderId="98" xfId="0" applyFont="1" applyFill="1" applyBorder="1" applyAlignment="1" applyProtection="1">
      <alignment/>
      <protection/>
    </xf>
    <xf numFmtId="0" fontId="0" fillId="32" borderId="100" xfId="0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5" fillId="32" borderId="0" xfId="65" applyFill="1" applyBorder="1" applyAlignment="1" applyProtection="1">
      <alignment/>
      <protection/>
    </xf>
    <xf numFmtId="0" fontId="71" fillId="31" borderId="0" xfId="65" applyFont="1" applyFill="1" applyBorder="1" applyAlignment="1" applyProtection="1">
      <alignment horizontal="center" vertical="top"/>
      <protection/>
    </xf>
    <xf numFmtId="0" fontId="72" fillId="31" borderId="0" xfId="0" applyFont="1" applyFill="1" applyBorder="1" applyAlignment="1" applyProtection="1">
      <alignment horizontal="center" vertical="top"/>
      <protection/>
    </xf>
    <xf numFmtId="0" fontId="5" fillId="31" borderId="0" xfId="65" applyFill="1" applyBorder="1" applyAlignment="1" applyProtection="1">
      <alignment horizontal="center" vertical="top"/>
      <protection/>
    </xf>
    <xf numFmtId="0" fontId="0" fillId="31" borderId="0" xfId="0" applyFill="1" applyBorder="1" applyAlignment="1" applyProtection="1">
      <alignment vertical="top"/>
      <protection/>
    </xf>
    <xf numFmtId="0" fontId="40" fillId="24" borderId="0" xfId="0" applyNumberFormat="1" applyFont="1" applyFill="1" applyAlignment="1" applyProtection="1">
      <alignment horizontal="right" vertical="top" wrapText="1"/>
      <protection/>
    </xf>
    <xf numFmtId="0" fontId="71" fillId="31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188" fontId="0" fillId="33" borderId="79" xfId="0" applyNumberFormat="1" applyFont="1" applyFill="1" applyBorder="1" applyAlignment="1" applyProtection="1">
      <alignment vertical="top"/>
      <protection locked="0"/>
    </xf>
    <xf numFmtId="0" fontId="0" fillId="23" borderId="0" xfId="0" applyNumberFormat="1" applyFont="1" applyFill="1" applyBorder="1" applyAlignment="1" applyProtection="1">
      <alignment vertical="top"/>
      <protection/>
    </xf>
    <xf numFmtId="197" fontId="0" fillId="0" borderId="0" xfId="0" applyNumberFormat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vertical="top"/>
      <protection/>
    </xf>
    <xf numFmtId="0" fontId="0" fillId="31" borderId="0" xfId="0" applyFont="1" applyFill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0" xfId="0" applyNumberFormat="1" applyFont="1" applyFill="1" applyBorder="1" applyAlignment="1" applyProtection="1">
      <alignment vertical="top"/>
      <protection/>
    </xf>
    <xf numFmtId="0" fontId="0" fillId="31" borderId="0" xfId="0" applyFill="1" applyAlignment="1" applyProtection="1">
      <alignment/>
      <protection/>
    </xf>
    <xf numFmtId="0" fontId="0" fillId="31" borderId="0" xfId="0" applyNumberFormat="1" applyFont="1" applyFill="1" applyBorder="1" applyAlignment="1" applyProtection="1">
      <alignment vertical="center"/>
      <protection/>
    </xf>
    <xf numFmtId="0" fontId="0" fillId="31" borderId="0" xfId="0" applyNumberFormat="1" applyFont="1" applyFill="1" applyBorder="1" applyAlignment="1" applyProtection="1">
      <alignment vertical="center"/>
      <protection/>
    </xf>
    <xf numFmtId="0" fontId="0" fillId="31" borderId="0" xfId="0" applyNumberFormat="1" applyFont="1" applyFill="1" applyBorder="1" applyAlignment="1" applyProtection="1">
      <alignment wrapText="1"/>
      <protection/>
    </xf>
    <xf numFmtId="0" fontId="37" fillId="31" borderId="0" xfId="0" applyNumberFormat="1" applyFont="1" applyFill="1" applyBorder="1" applyAlignment="1" applyProtection="1">
      <alignment vertical="top"/>
      <protection/>
    </xf>
    <xf numFmtId="0" fontId="0" fillId="31" borderId="0" xfId="0" applyNumberFormat="1" applyFont="1" applyFill="1" applyBorder="1" applyAlignment="1" applyProtection="1">
      <alignment vertical="top"/>
      <protection/>
    </xf>
    <xf numFmtId="0" fontId="0" fillId="31" borderId="0" xfId="0" applyFont="1" applyFill="1" applyAlignment="1" applyProtection="1">
      <alignment/>
      <protection/>
    </xf>
    <xf numFmtId="3" fontId="0" fillId="33" borderId="36" xfId="0" applyNumberFormat="1" applyFont="1" applyFill="1" applyBorder="1" applyAlignment="1" applyProtection="1">
      <alignment horizontal="center" vertical="top"/>
      <protection locked="0"/>
    </xf>
    <xf numFmtId="3" fontId="0" fillId="33" borderId="35" xfId="0" applyNumberFormat="1" applyFont="1" applyFill="1" applyBorder="1" applyAlignment="1" applyProtection="1">
      <alignment horizontal="center" vertical="top"/>
      <protection locked="0"/>
    </xf>
    <xf numFmtId="3" fontId="0" fillId="33" borderId="34" xfId="0" applyNumberFormat="1" applyFont="1" applyFill="1" applyBorder="1" applyAlignment="1" applyProtection="1">
      <alignment horizontal="center" vertical="top"/>
      <protection locked="0"/>
    </xf>
    <xf numFmtId="0" fontId="1" fillId="0" borderId="0" xfId="74" applyProtection="1" quotePrefix="1">
      <alignment/>
      <protection/>
    </xf>
    <xf numFmtId="0" fontId="0" fillId="0" borderId="0" xfId="0" applyAlignment="1" applyProtection="1">
      <alignment vertical="top" wrapText="1"/>
      <protection/>
    </xf>
    <xf numFmtId="3" fontId="0" fillId="34" borderId="36" xfId="0" applyNumberFormat="1" applyFont="1" applyFill="1" applyBorder="1" applyAlignment="1" applyProtection="1">
      <alignment horizontal="center" vertical="top"/>
      <protection locked="0"/>
    </xf>
    <xf numFmtId="3" fontId="0" fillId="34" borderId="35" xfId="0" applyNumberFormat="1" applyFont="1" applyFill="1" applyBorder="1" applyAlignment="1" applyProtection="1">
      <alignment horizontal="center" vertical="top"/>
      <protection locked="0"/>
    </xf>
    <xf numFmtId="3" fontId="0" fillId="34" borderId="34" xfId="0" applyNumberFormat="1" applyFont="1" applyFill="1" applyBorder="1" applyAlignment="1" applyProtection="1">
      <alignment horizontal="center" vertical="top"/>
      <protection locked="0"/>
    </xf>
    <xf numFmtId="0" fontId="0" fillId="28" borderId="11" xfId="0" applyNumberFormat="1" applyFont="1" applyFill="1" applyBorder="1" applyAlignment="1" applyProtection="1">
      <alignment horizontal="center" vertical="top"/>
      <protection locked="0"/>
    </xf>
    <xf numFmtId="0" fontId="0" fillId="31" borderId="0" xfId="0" applyFont="1" applyFill="1" applyBorder="1" applyAlignment="1" applyProtection="1">
      <alignment horizontal="center" vertical="top" wrapText="1"/>
      <protection/>
    </xf>
    <xf numFmtId="14" fontId="0" fillId="32" borderId="86" xfId="0" applyNumberFormat="1" applyFont="1" applyFill="1" applyBorder="1" applyAlignment="1" applyProtection="1">
      <alignment horizontal="center" vertical="top"/>
      <protection/>
    </xf>
    <xf numFmtId="0" fontId="0" fillId="30" borderId="11" xfId="0" applyNumberFormat="1" applyFont="1" applyFill="1" applyBorder="1" applyAlignment="1" applyProtection="1">
      <alignment horizontal="center" vertical="top"/>
      <protection/>
    </xf>
    <xf numFmtId="0" fontId="22" fillId="0" borderId="10" xfId="74" applyFont="1" applyBorder="1" applyAlignment="1" applyProtection="1">
      <alignment wrapText="1"/>
      <protection/>
    </xf>
    <xf numFmtId="0" fontId="1" fillId="0" borderId="0" xfId="74" applyAlignment="1" applyProtection="1">
      <alignment wrapText="1"/>
      <protection/>
    </xf>
    <xf numFmtId="0" fontId="0" fillId="24" borderId="94" xfId="0" applyNumberFormat="1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right" vertical="top" indent="1"/>
      <protection/>
    </xf>
    <xf numFmtId="0" fontId="0" fillId="32" borderId="11" xfId="0" applyNumberFormat="1" applyFont="1" applyFill="1" applyBorder="1" applyAlignment="1" applyProtection="1">
      <alignment horizontal="center" vertical="center"/>
      <protection/>
    </xf>
    <xf numFmtId="0" fontId="0" fillId="32" borderId="11" xfId="0" applyNumberFormat="1" applyFont="1" applyFill="1" applyBorder="1" applyAlignment="1" applyProtection="1">
      <alignment vertical="center"/>
      <protection/>
    </xf>
    <xf numFmtId="0" fontId="73" fillId="24" borderId="0" xfId="0" applyFont="1" applyFill="1" applyAlignment="1" applyProtection="1">
      <alignment horizontal="center" vertical="center"/>
      <protection/>
    </xf>
    <xf numFmtId="0" fontId="74" fillId="24" borderId="0" xfId="0" applyFont="1" applyFill="1" applyAlignment="1" applyProtection="1">
      <alignment/>
      <protection/>
    </xf>
    <xf numFmtId="0" fontId="74" fillId="24" borderId="10" xfId="0" applyNumberFormat="1" applyFont="1" applyFill="1" applyBorder="1" applyAlignment="1" applyProtection="1">
      <alignment vertical="top"/>
      <protection/>
    </xf>
    <xf numFmtId="0" fontId="75" fillId="24" borderId="37" xfId="0" applyNumberFormat="1" applyFont="1" applyFill="1" applyBorder="1" applyAlignment="1" applyProtection="1">
      <alignment vertical="top"/>
      <protection/>
    </xf>
    <xf numFmtId="0" fontId="74" fillId="24" borderId="20" xfId="0" applyNumberFormat="1" applyFont="1" applyFill="1" applyBorder="1" applyAlignment="1" applyProtection="1">
      <alignment horizontal="center" vertical="top"/>
      <protection/>
    </xf>
    <xf numFmtId="188" fontId="74" fillId="30" borderId="79" xfId="0" applyNumberFormat="1" applyFont="1" applyFill="1" applyBorder="1" applyAlignment="1" applyProtection="1">
      <alignment vertical="top"/>
      <protection/>
    </xf>
    <xf numFmtId="0" fontId="74" fillId="24" borderId="0" xfId="0" applyNumberFormat="1" applyFont="1" applyFill="1" applyBorder="1" applyAlignment="1" applyProtection="1">
      <alignment horizontal="center" vertical="top"/>
      <protection/>
    </xf>
    <xf numFmtId="188" fontId="74" fillId="30" borderId="97" xfId="0" applyNumberFormat="1" applyFont="1" applyFill="1" applyBorder="1" applyAlignment="1" applyProtection="1">
      <alignment vertical="top"/>
      <protection/>
    </xf>
    <xf numFmtId="188" fontId="74" fillId="30" borderId="35" xfId="0" applyNumberFormat="1" applyFont="1" applyFill="1" applyBorder="1" applyAlignment="1" applyProtection="1">
      <alignment vertical="top"/>
      <protection/>
    </xf>
    <xf numFmtId="0" fontId="74" fillId="24" borderId="10" xfId="0" applyNumberFormat="1" applyFont="1" applyFill="1" applyBorder="1" applyAlignment="1" applyProtection="1">
      <alignment horizontal="center" vertical="top"/>
      <protection/>
    </xf>
    <xf numFmtId="188" fontId="74" fillId="30" borderId="34" xfId="0" applyNumberFormat="1" applyFont="1" applyFill="1" applyBorder="1" applyAlignment="1" applyProtection="1">
      <alignment vertical="top"/>
      <protection/>
    </xf>
    <xf numFmtId="188" fontId="74" fillId="30" borderId="104" xfId="0" applyNumberFormat="1" applyFont="1" applyFill="1" applyBorder="1" applyAlignment="1" applyProtection="1">
      <alignment vertical="top"/>
      <protection/>
    </xf>
    <xf numFmtId="0" fontId="74" fillId="24" borderId="109" xfId="0" applyNumberFormat="1" applyFont="1" applyFill="1" applyBorder="1" applyAlignment="1" applyProtection="1">
      <alignment horizontal="center" vertical="top"/>
      <protection/>
    </xf>
    <xf numFmtId="188" fontId="74" fillId="30" borderId="102" xfId="0" applyNumberFormat="1" applyFont="1" applyFill="1" applyBorder="1" applyAlignment="1" applyProtection="1">
      <alignment vertical="top"/>
      <protection/>
    </xf>
    <xf numFmtId="0" fontId="74" fillId="24" borderId="0" xfId="0" applyNumberFormat="1" applyFont="1" applyFill="1" applyBorder="1" applyAlignment="1" applyProtection="1">
      <alignment vertical="top"/>
      <protection/>
    </xf>
    <xf numFmtId="188" fontId="75" fillId="4" borderId="37" xfId="0" applyNumberFormat="1" applyFont="1" applyFill="1" applyBorder="1" applyAlignment="1" applyProtection="1">
      <alignment vertical="top"/>
      <protection/>
    </xf>
    <xf numFmtId="0" fontId="74" fillId="24" borderId="0" xfId="0" applyFont="1" applyFill="1" applyBorder="1" applyAlignment="1" applyProtection="1">
      <alignment/>
      <protection/>
    </xf>
    <xf numFmtId="0" fontId="74" fillId="24" borderId="10" xfId="0" applyNumberFormat="1" applyFont="1" applyFill="1" applyBorder="1" applyAlignment="1" applyProtection="1">
      <alignment wrapText="1"/>
      <protection/>
    </xf>
    <xf numFmtId="0" fontId="75" fillId="24" borderId="37" xfId="0" applyNumberFormat="1" applyFont="1" applyFill="1" applyBorder="1" applyAlignment="1" applyProtection="1">
      <alignment horizontal="center" wrapText="1"/>
      <protection/>
    </xf>
    <xf numFmtId="0" fontId="75" fillId="0" borderId="0" xfId="0" applyNumberFormat="1" applyFont="1" applyFill="1" applyBorder="1" applyAlignment="1" applyProtection="1">
      <alignment horizontal="center" wrapText="1"/>
      <protection/>
    </xf>
    <xf numFmtId="0" fontId="75" fillId="24" borderId="0" xfId="0" applyFont="1" applyFill="1" applyAlignment="1" applyProtection="1">
      <alignment/>
      <protection/>
    </xf>
    <xf numFmtId="0" fontId="74" fillId="4" borderId="36" xfId="0" applyNumberFormat="1" applyFont="1" applyFill="1" applyBorder="1" applyAlignment="1" applyProtection="1">
      <alignment horizontal="center" vertical="top"/>
      <protection/>
    </xf>
    <xf numFmtId="3" fontId="74" fillId="30" borderId="36" xfId="0" applyNumberFormat="1" applyFont="1" applyFill="1" applyBorder="1" applyAlignment="1" applyProtection="1">
      <alignment horizontal="center" vertical="top"/>
      <protection/>
    </xf>
    <xf numFmtId="0" fontId="74" fillId="4" borderId="35" xfId="0" applyNumberFormat="1" applyFont="1" applyFill="1" applyBorder="1" applyAlignment="1" applyProtection="1">
      <alignment horizontal="center" vertical="top"/>
      <protection/>
    </xf>
    <xf numFmtId="3" fontId="74" fillId="30" borderId="35" xfId="0" applyNumberFormat="1" applyFont="1" applyFill="1" applyBorder="1" applyAlignment="1" applyProtection="1">
      <alignment horizontal="center" vertical="top"/>
      <protection/>
    </xf>
    <xf numFmtId="0" fontId="74" fillId="4" borderId="34" xfId="0" applyNumberFormat="1" applyFont="1" applyFill="1" applyBorder="1" applyAlignment="1" applyProtection="1">
      <alignment horizontal="center" vertical="top"/>
      <protection/>
    </xf>
    <xf numFmtId="3" fontId="74" fillId="30" borderId="34" xfId="0" applyNumberFormat="1" applyFont="1" applyFill="1" applyBorder="1" applyAlignment="1" applyProtection="1">
      <alignment horizontal="center" vertical="top"/>
      <protection/>
    </xf>
    <xf numFmtId="188" fontId="0" fillId="24" borderId="0" xfId="0" applyNumberFormat="1" applyFill="1" applyAlignment="1" applyProtection="1">
      <alignment/>
      <protection/>
    </xf>
    <xf numFmtId="10" fontId="0" fillId="24" borderId="0" xfId="0" applyNumberFormat="1" applyFill="1" applyAlignment="1" applyProtection="1">
      <alignment/>
      <protection/>
    </xf>
    <xf numFmtId="10" fontId="0" fillId="31" borderId="0" xfId="0" applyNumberFormat="1" applyFill="1" applyAlignment="1" applyProtection="1">
      <alignment/>
      <protection/>
    </xf>
    <xf numFmtId="193" fontId="0" fillId="24" borderId="0" xfId="0" applyNumberFormat="1" applyFill="1" applyAlignment="1" applyProtection="1">
      <alignment/>
      <protection/>
    </xf>
    <xf numFmtId="188" fontId="0" fillId="32" borderId="11" xfId="0" applyNumberFormat="1" applyFont="1" applyFill="1" applyBorder="1" applyAlignment="1" applyProtection="1">
      <alignment vertical="top"/>
      <protection/>
    </xf>
    <xf numFmtId="0" fontId="0" fillId="32" borderId="0" xfId="0" applyNumberFormat="1" applyFont="1" applyFill="1" applyBorder="1" applyAlignment="1" applyProtection="1">
      <alignment horizontal="right" vertical="top"/>
      <protection/>
    </xf>
    <xf numFmtId="0" fontId="5" fillId="24" borderId="0" xfId="65" applyFill="1" applyAlignment="1" applyProtection="1">
      <alignment horizontal="left" vertical="top"/>
      <protection/>
    </xf>
    <xf numFmtId="0" fontId="0" fillId="31" borderId="0" xfId="0" applyFill="1" applyAlignment="1" applyProtection="1">
      <alignment/>
      <protection/>
    </xf>
    <xf numFmtId="0" fontId="3" fillId="31" borderId="0" xfId="0" applyFont="1" applyFill="1" applyBorder="1" applyAlignment="1" applyProtection="1">
      <alignment vertical="top" wrapText="1"/>
      <protection/>
    </xf>
    <xf numFmtId="0" fontId="7" fillId="31" borderId="0" xfId="0" applyFont="1" applyFill="1" applyBorder="1" applyAlignment="1" applyProtection="1">
      <alignment vertical="top" wrapText="1"/>
      <protection/>
    </xf>
    <xf numFmtId="0" fontId="3" fillId="31" borderId="94" xfId="0" applyNumberFormat="1" applyFont="1" applyFill="1" applyBorder="1" applyAlignment="1" applyProtection="1">
      <alignment wrapText="1"/>
      <protection/>
    </xf>
    <xf numFmtId="0" fontId="41" fillId="25" borderId="0" xfId="0" applyFont="1" applyFill="1" applyAlignment="1" applyProtection="1">
      <alignment/>
      <protection/>
    </xf>
    <xf numFmtId="0" fontId="35" fillId="25" borderId="0" xfId="0" applyFont="1" applyFill="1" applyAlignment="1" applyProtection="1">
      <alignment horizontal="left"/>
      <protection/>
    </xf>
    <xf numFmtId="0" fontId="0" fillId="25" borderId="0" xfId="0" applyNumberFormat="1" applyFont="1" applyFill="1" applyBorder="1" applyAlignment="1" applyProtection="1">
      <alignment horizontal="left" vertical="top"/>
      <protection/>
    </xf>
    <xf numFmtId="0" fontId="3" fillId="21" borderId="77" xfId="0" applyFont="1" applyFill="1" applyBorder="1" applyAlignment="1" applyProtection="1">
      <alignment horizontal="left"/>
      <protection/>
    </xf>
    <xf numFmtId="0" fontId="6" fillId="24" borderId="0" xfId="0" applyFont="1" applyFill="1" applyBorder="1" applyAlignment="1" applyProtection="1">
      <alignment horizontal="left" vertical="top"/>
      <protection/>
    </xf>
    <xf numFmtId="0" fontId="0" fillId="24" borderId="81" xfId="0" applyFill="1" applyBorder="1" applyAlignment="1" applyProtection="1">
      <alignment horizontal="left" vertical="top"/>
      <protection/>
    </xf>
    <xf numFmtId="0" fontId="0" fillId="24" borderId="38" xfId="0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5" fillId="21" borderId="0" xfId="65" applyFill="1" applyAlignment="1" applyProtection="1">
      <alignment horizontal="left" vertical="top"/>
      <protection/>
    </xf>
    <xf numFmtId="0" fontId="6" fillId="24" borderId="0" xfId="0" applyFont="1" applyFill="1" applyAlignment="1" applyProtection="1">
      <alignment horizontal="left" vertical="top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0" fillId="24" borderId="119" xfId="0" applyNumberFormat="1" applyFont="1" applyFill="1" applyBorder="1" applyAlignment="1" applyProtection="1">
      <alignment horizontal="left" vertical="top"/>
      <protection/>
    </xf>
    <xf numFmtId="0" fontId="5" fillId="35" borderId="0" xfId="65" applyFill="1" applyAlignment="1" applyProtection="1">
      <alignment vertical="top"/>
      <protection/>
    </xf>
    <xf numFmtId="0" fontId="5" fillId="35" borderId="0" xfId="65" applyFill="1" applyAlignment="1" applyProtection="1">
      <alignment vertical="top" wrapText="1"/>
      <protection/>
    </xf>
    <xf numFmtId="0" fontId="0" fillId="35" borderId="0" xfId="0" applyFont="1" applyFill="1" applyAlignment="1" applyProtection="1">
      <alignment vertical="top" wrapText="1"/>
      <protection/>
    </xf>
    <xf numFmtId="0" fontId="54" fillId="36" borderId="59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 wrapText="1"/>
      <protection/>
    </xf>
    <xf numFmtId="0" fontId="55" fillId="35" borderId="0" xfId="0" applyFont="1" applyFill="1" applyAlignment="1" applyProtection="1">
      <alignment vertical="top" wrapText="1"/>
      <protection/>
    </xf>
    <xf numFmtId="0" fontId="38" fillId="35" borderId="0" xfId="0" applyFont="1" applyFill="1" applyAlignment="1" applyProtection="1">
      <alignment vertical="top" wrapText="1"/>
      <protection/>
    </xf>
    <xf numFmtId="0" fontId="3" fillId="35" borderId="0" xfId="0" applyFont="1" applyFill="1" applyAlignment="1" applyProtection="1">
      <alignment wrapText="1"/>
      <protection/>
    </xf>
    <xf numFmtId="0" fontId="3" fillId="35" borderId="20" xfId="0" applyFont="1" applyFill="1" applyBorder="1" applyAlignment="1" applyProtection="1">
      <alignment wrapText="1"/>
      <protection/>
    </xf>
    <xf numFmtId="0" fontId="3" fillId="35" borderId="0" xfId="0" applyFont="1" applyFill="1" applyAlignment="1" applyProtection="1">
      <alignment vertical="top" wrapText="1"/>
      <protection/>
    </xf>
    <xf numFmtId="0" fontId="0" fillId="35" borderId="65" xfId="0" applyFont="1" applyFill="1" applyBorder="1" applyAlignment="1" applyProtection="1">
      <alignment vertical="top"/>
      <protection/>
    </xf>
    <xf numFmtId="0" fontId="0" fillId="35" borderId="20" xfId="0" applyFont="1" applyFill="1" applyBorder="1" applyAlignment="1" applyProtection="1">
      <alignment vertical="top"/>
      <protection/>
    </xf>
    <xf numFmtId="0" fontId="29" fillId="35" borderId="0" xfId="0" applyFont="1" applyFill="1" applyAlignment="1" applyProtection="1">
      <alignment vertical="top" wrapText="1"/>
      <protection/>
    </xf>
    <xf numFmtId="0" fontId="3" fillId="0" borderId="2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 vertical="top"/>
      <protection/>
    </xf>
    <xf numFmtId="0" fontId="56" fillId="32" borderId="0" xfId="0" applyFont="1" applyFill="1" applyAlignment="1" applyProtection="1">
      <alignment/>
      <protection/>
    </xf>
    <xf numFmtId="0" fontId="76" fillId="35" borderId="16" xfId="0" applyFont="1" applyFill="1" applyBorder="1" applyAlignment="1" applyProtection="1">
      <alignment vertical="center" wrapText="1"/>
      <protection/>
    </xf>
    <xf numFmtId="0" fontId="76" fillId="35" borderId="0" xfId="0" applyFont="1" applyFill="1" applyAlignment="1" applyProtection="1">
      <alignment vertical="center" wrapText="1"/>
      <protection/>
    </xf>
    <xf numFmtId="0" fontId="77" fillId="0" borderId="0" xfId="0" applyFont="1" applyAlignment="1" applyProtection="1">
      <alignment vertical="center" wrapText="1"/>
      <protection/>
    </xf>
    <xf numFmtId="0" fontId="78" fillId="37" borderId="0" xfId="0" applyFont="1" applyFill="1" applyAlignment="1" applyProtection="1">
      <alignment vertical="center" wrapText="1"/>
      <protection/>
    </xf>
    <xf numFmtId="0" fontId="79" fillId="35" borderId="0" xfId="0" applyFont="1" applyFill="1" applyAlignment="1" applyProtection="1">
      <alignment vertical="center" wrapText="1"/>
      <protection/>
    </xf>
    <xf numFmtId="0" fontId="80" fillId="35" borderId="0" xfId="0" applyFont="1" applyFill="1" applyAlignment="1" applyProtection="1">
      <alignment vertical="center" wrapText="1"/>
      <protection/>
    </xf>
    <xf numFmtId="0" fontId="81" fillId="35" borderId="0" xfId="0" applyFont="1" applyFill="1" applyAlignment="1" applyProtection="1">
      <alignment vertical="center" wrapText="1"/>
      <protection/>
    </xf>
    <xf numFmtId="0" fontId="3" fillId="35" borderId="0" xfId="0" applyFont="1" applyFill="1" applyAlignment="1" applyProtection="1">
      <alignment vertical="center" wrapText="1"/>
      <protection/>
    </xf>
    <xf numFmtId="0" fontId="82" fillId="35" borderId="0" xfId="0" applyFont="1" applyFill="1" applyAlignment="1" applyProtection="1">
      <alignment vertical="center" wrapText="1"/>
      <protection/>
    </xf>
    <xf numFmtId="0" fontId="83" fillId="35" borderId="0" xfId="0" applyFont="1" applyFill="1" applyAlignment="1" applyProtection="1">
      <alignment vertical="center" wrapText="1"/>
      <protection/>
    </xf>
    <xf numFmtId="0" fontId="3" fillId="35" borderId="20" xfId="0" applyFont="1" applyFill="1" applyBorder="1" applyAlignment="1" applyProtection="1">
      <alignment vertical="center" wrapText="1"/>
      <protection/>
    </xf>
    <xf numFmtId="0" fontId="3" fillId="35" borderId="65" xfId="0" applyFont="1" applyFill="1" applyBorder="1" applyAlignment="1" applyProtection="1">
      <alignment vertical="center" wrapText="1"/>
      <protection/>
    </xf>
    <xf numFmtId="0" fontId="3" fillId="36" borderId="40" xfId="0" applyFont="1" applyFill="1" applyBorder="1" applyAlignment="1" applyProtection="1">
      <alignment vertical="center" wrapText="1"/>
      <protection/>
    </xf>
    <xf numFmtId="0" fontId="6" fillId="35" borderId="0" xfId="0" applyFont="1" applyFill="1" applyAlignment="1" applyProtection="1">
      <alignment vertical="center" wrapText="1"/>
      <protection/>
    </xf>
    <xf numFmtId="0" fontId="3" fillId="35" borderId="39" xfId="0" applyFont="1" applyFill="1" applyBorder="1" applyAlignment="1" applyProtection="1">
      <alignment vertical="center" wrapText="1"/>
      <protection/>
    </xf>
    <xf numFmtId="0" fontId="3" fillId="35" borderId="21" xfId="0" applyFont="1" applyFill="1" applyBorder="1" applyAlignment="1" applyProtection="1">
      <alignment vertical="center" wrapText="1"/>
      <protection/>
    </xf>
    <xf numFmtId="0" fontId="3" fillId="36" borderId="39" xfId="0" applyFont="1" applyFill="1" applyBorder="1" applyAlignment="1" applyProtection="1">
      <alignment vertical="center"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84" fillId="32" borderId="0" xfId="0" applyFont="1" applyFill="1" applyAlignment="1" applyProtection="1">
      <alignment vertical="center" wrapText="1"/>
      <protection/>
    </xf>
    <xf numFmtId="0" fontId="1" fillId="28" borderId="0" xfId="74" applyFill="1" applyAlignment="1" applyProtection="1">
      <alignment horizontal="center"/>
      <protection locked="0"/>
    </xf>
    <xf numFmtId="0" fontId="0" fillId="32" borderId="11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vertical="top" wrapText="1"/>
      <protection/>
    </xf>
    <xf numFmtId="0" fontId="0" fillId="24" borderId="0" xfId="0" applyNumberFormat="1" applyFont="1" applyFill="1" applyBorder="1" applyAlignment="1" applyProtection="1">
      <alignment horizontal="center" vertical="top" wrapText="1"/>
      <protection/>
    </xf>
    <xf numFmtId="188" fontId="0" fillId="28" borderId="35" xfId="0" applyNumberFormat="1" applyFont="1" applyFill="1" applyBorder="1" applyAlignment="1" applyProtection="1">
      <alignment vertical="top" wrapText="1"/>
      <protection locked="0"/>
    </xf>
    <xf numFmtId="0" fontId="0" fillId="32" borderId="11" xfId="0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top" wrapText="1"/>
      <protection/>
    </xf>
    <xf numFmtId="0" fontId="0" fillId="32" borderId="99" xfId="0" applyNumberFormat="1" applyFont="1" applyFill="1" applyBorder="1" applyAlignment="1" applyProtection="1">
      <alignment horizontal="center" vertical="top" wrapText="1"/>
      <protection/>
    </xf>
    <xf numFmtId="0" fontId="0" fillId="32" borderId="11" xfId="0" applyNumberFormat="1" applyFont="1" applyFill="1" applyBorder="1" applyAlignment="1" applyProtection="1">
      <alignment vertical="top" wrapText="1"/>
      <protection/>
    </xf>
    <xf numFmtId="0" fontId="0" fillId="31" borderId="0" xfId="0" applyNumberFormat="1" applyFont="1" applyFill="1" applyBorder="1" applyAlignment="1" applyProtection="1">
      <alignment vertical="top" wrapText="1"/>
      <protection/>
    </xf>
    <xf numFmtId="188" fontId="0" fillId="28" borderId="104" xfId="0" applyNumberFormat="1" applyFont="1" applyFill="1" applyBorder="1" applyAlignment="1" applyProtection="1">
      <alignment vertical="top" wrapText="1"/>
      <protection locked="0"/>
    </xf>
    <xf numFmtId="188" fontId="0" fillId="28" borderId="97" xfId="0" applyNumberFormat="1" applyFont="1" applyFill="1" applyBorder="1" applyAlignment="1" applyProtection="1">
      <alignment vertical="top" wrapText="1"/>
      <protection locked="0"/>
    </xf>
    <xf numFmtId="0" fontId="0" fillId="4" borderId="36" xfId="0" applyNumberFormat="1" applyFont="1" applyFill="1" applyBorder="1" applyAlignment="1" applyProtection="1">
      <alignment horizontal="center" vertical="top" wrapText="1"/>
      <protection/>
    </xf>
    <xf numFmtId="3" fontId="0" fillId="30" borderId="36" xfId="0" applyNumberFormat="1" applyFont="1" applyFill="1" applyBorder="1" applyAlignment="1" applyProtection="1">
      <alignment horizontal="center" vertical="top" wrapText="1"/>
      <protection/>
    </xf>
    <xf numFmtId="0" fontId="0" fillId="32" borderId="11" xfId="0" applyFont="1" applyFill="1" applyBorder="1" applyAlignment="1" applyProtection="1">
      <alignment horizontal="center" wrapText="1"/>
      <protection/>
    </xf>
    <xf numFmtId="0" fontId="0" fillId="4" borderId="35" xfId="0" applyNumberFormat="1" applyFont="1" applyFill="1" applyBorder="1" applyAlignment="1" applyProtection="1">
      <alignment horizontal="center" vertical="top" wrapText="1"/>
      <protection/>
    </xf>
    <xf numFmtId="3" fontId="0" fillId="30" borderId="35" xfId="0" applyNumberFormat="1" applyFont="1" applyFill="1" applyBorder="1" applyAlignment="1" applyProtection="1">
      <alignment horizontal="center" vertical="top" wrapText="1"/>
      <protection/>
    </xf>
    <xf numFmtId="0" fontId="0" fillId="24" borderId="10" xfId="0" applyNumberFormat="1" applyFont="1" applyFill="1" applyBorder="1" applyAlignment="1" applyProtection="1">
      <alignment horizontal="center" vertical="top" wrapText="1"/>
      <protection/>
    </xf>
    <xf numFmtId="0" fontId="0" fillId="4" borderId="34" xfId="0" applyNumberFormat="1" applyFont="1" applyFill="1" applyBorder="1" applyAlignment="1" applyProtection="1">
      <alignment horizontal="center" vertical="top" wrapText="1"/>
      <protection/>
    </xf>
    <xf numFmtId="3" fontId="0" fillId="30" borderId="34" xfId="0" applyNumberFormat="1" applyFont="1" applyFill="1" applyBorder="1" applyAlignment="1" applyProtection="1">
      <alignment horizontal="center" vertical="top" wrapText="1"/>
      <protection/>
    </xf>
    <xf numFmtId="0" fontId="0" fillId="32" borderId="100" xfId="0" applyNumberFormat="1" applyFont="1" applyFill="1" applyBorder="1" applyAlignment="1" applyProtection="1">
      <alignment horizontal="center" vertical="top" wrapText="1"/>
      <protection/>
    </xf>
    <xf numFmtId="0" fontId="58" fillId="20" borderId="50" xfId="0" applyFont="1" applyFill="1" applyBorder="1" applyAlignment="1" applyProtection="1">
      <alignment horizontal="left" vertical="center"/>
      <protection/>
    </xf>
    <xf numFmtId="0" fontId="58" fillId="20" borderId="53" xfId="0" applyFont="1" applyFill="1" applyBorder="1" applyAlignment="1" applyProtection="1">
      <alignment horizontal="left" vertical="center"/>
      <protection/>
    </xf>
    <xf numFmtId="0" fontId="58" fillId="20" borderId="56" xfId="0" applyFont="1" applyFill="1" applyBorder="1" applyAlignment="1" applyProtection="1">
      <alignment horizontal="left" vertical="center"/>
      <protection/>
    </xf>
    <xf numFmtId="0" fontId="58" fillId="20" borderId="57" xfId="0" applyFont="1" applyFill="1" applyBorder="1" applyAlignment="1" applyProtection="1">
      <alignment horizontal="left" vertical="center"/>
      <protection/>
    </xf>
    <xf numFmtId="0" fontId="58" fillId="20" borderId="58" xfId="0" applyFont="1" applyFill="1" applyBorder="1" applyAlignment="1" applyProtection="1">
      <alignment horizontal="left" vertical="center"/>
      <protection/>
    </xf>
    <xf numFmtId="0" fontId="37" fillId="24" borderId="0" xfId="0" applyNumberFormat="1" applyFont="1" applyFill="1" applyAlignment="1" applyProtection="1">
      <alignment horizontal="left" vertical="top" wrapText="1"/>
      <protection/>
    </xf>
    <xf numFmtId="0" fontId="0" fillId="20" borderId="85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Alignment="1" applyProtection="1">
      <alignment horizontal="left" vertical="top" wrapText="1"/>
      <protection/>
    </xf>
    <xf numFmtId="0" fontId="85" fillId="0" borderId="0" xfId="0" applyFont="1" applyAlignment="1" applyProtection="1">
      <alignment vertical="center" wrapText="1"/>
      <protection/>
    </xf>
    <xf numFmtId="0" fontId="3" fillId="31" borderId="0" xfId="65" applyFont="1" applyFill="1" applyBorder="1" applyAlignment="1" applyProtection="1">
      <alignment vertical="top"/>
      <protection/>
    </xf>
    <xf numFmtId="0" fontId="3" fillId="31" borderId="0" xfId="0" applyFont="1" applyFill="1" applyBorder="1" applyAlignment="1" applyProtection="1">
      <alignment vertical="top"/>
      <protection/>
    </xf>
    <xf numFmtId="0" fontId="5" fillId="31" borderId="0" xfId="65" applyFill="1" applyAlignment="1" applyProtection="1">
      <alignment/>
      <protection/>
    </xf>
    <xf numFmtId="0" fontId="0" fillId="31" borderId="0" xfId="0" applyFill="1" applyAlignment="1" applyProtection="1">
      <alignment/>
      <protection/>
    </xf>
    <xf numFmtId="0" fontId="0" fillId="24" borderId="12" xfId="0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3" fillId="31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1" borderId="40" xfId="65" applyFont="1" applyFill="1" applyBorder="1" applyAlignment="1" applyProtection="1">
      <alignment horizontal="center" vertical="top" wrapText="1"/>
      <protection/>
    </xf>
    <xf numFmtId="0" fontId="30" fillId="21" borderId="16" xfId="65" applyFont="1" applyFill="1" applyBorder="1" applyAlignment="1" applyProtection="1">
      <alignment horizontal="center" vertical="top" wrapText="1"/>
      <protection/>
    </xf>
    <xf numFmtId="0" fontId="30" fillId="0" borderId="17" xfId="65" applyFont="1" applyBorder="1" applyAlignment="1" applyProtection="1">
      <alignment horizontal="center" vertical="top" wrapText="1"/>
      <protection/>
    </xf>
    <xf numFmtId="0" fontId="30" fillId="21" borderId="39" xfId="65" applyFont="1" applyFill="1" applyBorder="1" applyAlignment="1" applyProtection="1">
      <alignment horizontal="center" vertical="top" wrapText="1"/>
      <protection/>
    </xf>
    <xf numFmtId="0" fontId="30" fillId="21" borderId="0" xfId="65" applyFont="1" applyFill="1" applyBorder="1" applyAlignment="1" applyProtection="1">
      <alignment horizontal="center" vertical="top" wrapText="1"/>
      <protection/>
    </xf>
    <xf numFmtId="0" fontId="30" fillId="0" borderId="19" xfId="65" applyFont="1" applyBorder="1" applyAlignment="1" applyProtection="1">
      <alignment horizontal="center" vertical="top" wrapText="1"/>
      <protection/>
    </xf>
    <xf numFmtId="0" fontId="3" fillId="31" borderId="0" xfId="65" applyFont="1" applyFill="1" applyBorder="1" applyAlignment="1" applyProtection="1">
      <alignment vertical="top" wrapText="1"/>
      <protection/>
    </xf>
    <xf numFmtId="0" fontId="51" fillId="24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21" borderId="0" xfId="0" applyFill="1" applyBorder="1" applyAlignment="1" applyProtection="1">
      <alignment horizontal="center" vertical="top" wrapText="1"/>
      <protection/>
    </xf>
    <xf numFmtId="0" fontId="0" fillId="21" borderId="120" xfId="0" applyFill="1" applyBorder="1" applyAlignment="1" applyProtection="1">
      <alignment horizontal="center" vertical="center" wrapText="1"/>
      <protection/>
    </xf>
    <xf numFmtId="0" fontId="0" fillId="0" borderId="121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30" fillId="21" borderId="77" xfId="65" applyFont="1" applyFill="1" applyBorder="1" applyAlignment="1" applyProtection="1">
      <alignment horizontal="center" vertical="top" wrapText="1"/>
      <protection/>
    </xf>
    <xf numFmtId="0" fontId="0" fillId="21" borderId="39" xfId="0" applyFill="1" applyBorder="1" applyAlignment="1" applyProtection="1">
      <alignment horizontal="center" vertical="top" wrapText="1"/>
      <protection/>
    </xf>
    <xf numFmtId="0" fontId="0" fillId="32" borderId="64" xfId="0" applyNumberFormat="1" applyFont="1" applyFill="1" applyBorder="1" applyAlignment="1" applyProtection="1">
      <alignment horizontal="center" vertical="top"/>
      <protection/>
    </xf>
    <xf numFmtId="0" fontId="0" fillId="32" borderId="122" xfId="0" applyNumberFormat="1" applyFont="1" applyFill="1" applyBorder="1" applyAlignment="1" applyProtection="1">
      <alignment horizontal="center" vertical="top"/>
      <protection/>
    </xf>
    <xf numFmtId="0" fontId="0" fillId="32" borderId="119" xfId="0" applyNumberFormat="1" applyFont="1" applyFill="1" applyBorder="1" applyAlignment="1" applyProtection="1">
      <alignment horizontal="center" vertical="top"/>
      <protection/>
    </xf>
    <xf numFmtId="0" fontId="0" fillId="32" borderId="66" xfId="0" applyNumberFormat="1" applyFont="1" applyFill="1" applyBorder="1" applyAlignment="1" applyProtection="1">
      <alignment horizontal="center" vertical="top"/>
      <protection/>
    </xf>
    <xf numFmtId="0" fontId="71" fillId="31" borderId="0" xfId="0" applyFont="1" applyFill="1" applyAlignment="1" applyProtection="1">
      <alignment/>
      <protection/>
    </xf>
    <xf numFmtId="0" fontId="30" fillId="0" borderId="77" xfId="65" applyFont="1" applyBorder="1" applyAlignment="1" applyProtection="1">
      <alignment horizontal="center" vertical="top" wrapText="1"/>
      <protection/>
    </xf>
    <xf numFmtId="0" fontId="0" fillId="21" borderId="40" xfId="0" applyFill="1" applyBorder="1" applyAlignment="1" applyProtection="1">
      <alignment horizontal="center" vertical="top" wrapText="1"/>
      <protection/>
    </xf>
    <xf numFmtId="0" fontId="0" fillId="21" borderId="16" xfId="0" applyFill="1" applyBorder="1" applyAlignment="1" applyProtection="1">
      <alignment horizontal="center" vertical="top" wrapText="1"/>
      <protection/>
    </xf>
    <xf numFmtId="0" fontId="40" fillId="24" borderId="0" xfId="0" applyNumberFormat="1" applyFont="1" applyFill="1" applyAlignment="1" applyProtection="1">
      <alignment horizontal="left" vertical="top" wrapText="1"/>
      <protection/>
    </xf>
    <xf numFmtId="0" fontId="48" fillId="24" borderId="0" xfId="0" applyFont="1" applyFill="1" applyAlignment="1" applyProtection="1">
      <alignment vertical="top" wrapText="1"/>
      <protection/>
    </xf>
    <xf numFmtId="0" fontId="48" fillId="24" borderId="0" xfId="0" applyFont="1" applyFill="1" applyBorder="1" applyAlignment="1" applyProtection="1">
      <alignment vertical="top" wrapText="1"/>
      <protection/>
    </xf>
    <xf numFmtId="0" fontId="30" fillId="21" borderId="66" xfId="65" applyFont="1" applyFill="1" applyBorder="1" applyAlignment="1" applyProtection="1">
      <alignment horizontal="center" vertical="top" wrapText="1"/>
      <protection/>
    </xf>
    <xf numFmtId="0" fontId="5" fillId="21" borderId="81" xfId="65" applyFill="1" applyBorder="1" applyAlignment="1" applyProtection="1">
      <alignment horizontal="center" vertical="top" wrapText="1"/>
      <protection/>
    </xf>
    <xf numFmtId="0" fontId="5" fillId="21" borderId="123" xfId="65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vertical="top" wrapText="1"/>
      <protection/>
    </xf>
    <xf numFmtId="0" fontId="0" fillId="24" borderId="0" xfId="0" applyFill="1" applyAlignment="1" applyProtection="1">
      <alignment horizontal="left" vertical="top" wrapText="1"/>
      <protection/>
    </xf>
    <xf numFmtId="0" fontId="2" fillId="26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5" fillId="24" borderId="0" xfId="65" applyFill="1" applyAlignment="1" applyProtection="1">
      <alignment horizontal="left" vertical="top"/>
      <protection/>
    </xf>
    <xf numFmtId="0" fontId="5" fillId="0" borderId="0" xfId="65" applyAlignment="1" applyProtection="1">
      <alignment horizontal="left" vertical="top"/>
      <protection/>
    </xf>
    <xf numFmtId="0" fontId="47" fillId="24" borderId="0" xfId="0" applyNumberFormat="1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38" borderId="86" xfId="0" applyFill="1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40" fillId="24" borderId="85" xfId="0" applyNumberFormat="1" applyFont="1" applyFill="1" applyBorder="1" applyAlignment="1" applyProtection="1">
      <alignment horizontal="left" vertical="top" wrapText="1"/>
      <protection/>
    </xf>
    <xf numFmtId="0" fontId="40" fillId="24" borderId="12" xfId="0" applyNumberFormat="1" applyFont="1" applyFill="1" applyBorder="1" applyAlignment="1" applyProtection="1">
      <alignment horizontal="left" vertical="top" wrapText="1"/>
      <protection/>
    </xf>
    <xf numFmtId="0" fontId="40" fillId="24" borderId="94" xfId="0" applyNumberFormat="1" applyFont="1" applyFill="1" applyBorder="1" applyAlignment="1" applyProtection="1">
      <alignment horizontal="left" vertical="top" wrapText="1"/>
      <protection/>
    </xf>
    <xf numFmtId="0" fontId="40" fillId="24" borderId="10" xfId="0" applyNumberFormat="1" applyFont="1" applyFill="1" applyBorder="1" applyAlignment="1" applyProtection="1">
      <alignment horizontal="left" vertical="top" wrapText="1"/>
      <protection/>
    </xf>
    <xf numFmtId="0" fontId="40" fillId="24" borderId="86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188" fontId="0" fillId="23" borderId="86" xfId="0" applyNumberFormat="1" applyFill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188" fontId="0" fillId="4" borderId="86" xfId="0" applyNumberFormat="1" applyFill="1" applyBorder="1" applyAlignment="1" applyProtection="1">
      <alignment vertical="top" wrapText="1"/>
      <protection/>
    </xf>
    <xf numFmtId="0" fontId="0" fillId="20" borderId="0" xfId="0" applyFill="1" applyAlignment="1" applyProtection="1">
      <alignment horizontal="left" vertical="top" wrapText="1"/>
      <protection/>
    </xf>
    <xf numFmtId="0" fontId="0" fillId="24" borderId="0" xfId="0" applyFill="1" applyAlignment="1" applyProtection="1">
      <alignment vertical="top" wrapText="1"/>
      <protection/>
    </xf>
    <xf numFmtId="0" fontId="52" fillId="25" borderId="0" xfId="0" applyNumberFormat="1" applyFont="1" applyFill="1" applyAlignment="1" applyProtection="1">
      <alignment horizontal="left" vertical="top" wrapText="1"/>
      <protection/>
    </xf>
    <xf numFmtId="0" fontId="53" fillId="25" borderId="0" xfId="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35" borderId="0" xfId="0" applyFont="1" applyFill="1" applyAlignment="1" applyProtection="1">
      <alignment vertical="top" wrapText="1"/>
      <protection/>
    </xf>
    <xf numFmtId="0" fontId="7" fillId="24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28" borderId="86" xfId="0" applyFill="1" applyBorder="1" applyAlignment="1" applyProtection="1">
      <alignment vertical="top" wrapText="1"/>
      <protection locked="0"/>
    </xf>
    <xf numFmtId="0" fontId="3" fillId="10" borderId="64" xfId="0" applyNumberFormat="1" applyFont="1" applyFill="1" applyBorder="1" applyAlignment="1" applyProtection="1">
      <alignment horizontal="left" vertical="center" wrapText="1"/>
      <protection/>
    </xf>
    <xf numFmtId="0" fontId="3" fillId="10" borderId="65" xfId="0" applyFont="1" applyFill="1" applyBorder="1" applyAlignment="1" applyProtection="1">
      <alignment horizontal="left" vertical="center" wrapText="1"/>
      <protection/>
    </xf>
    <xf numFmtId="0" fontId="3" fillId="10" borderId="66" xfId="0" applyFont="1" applyFill="1" applyBorder="1" applyAlignment="1" applyProtection="1">
      <alignment horizontal="left" vertical="center" wrapText="1"/>
      <protection/>
    </xf>
    <xf numFmtId="0" fontId="30" fillId="21" borderId="59" xfId="65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Alignment="1" applyProtection="1">
      <alignment horizontal="left" vertical="top" wrapText="1"/>
      <protection/>
    </xf>
    <xf numFmtId="0" fontId="5" fillId="21" borderId="124" xfId="65" applyFill="1" applyBorder="1" applyAlignment="1" applyProtection="1">
      <alignment horizontal="center" vertical="top" wrapText="1"/>
      <protection/>
    </xf>
    <xf numFmtId="0" fontId="48" fillId="24" borderId="88" xfId="0" applyFont="1" applyFill="1" applyBorder="1" applyAlignment="1" applyProtection="1">
      <alignment vertical="top" wrapText="1"/>
      <protection/>
    </xf>
    <xf numFmtId="0" fontId="27" fillId="24" borderId="0" xfId="0" applyFont="1" applyFill="1" applyAlignment="1" applyProtection="1">
      <alignment vertical="top" wrapText="1"/>
      <protection/>
    </xf>
    <xf numFmtId="0" fontId="0" fillId="20" borderId="12" xfId="0" applyFill="1" applyBorder="1" applyAlignment="1" applyProtection="1">
      <alignment vertical="top" wrapText="1"/>
      <protection/>
    </xf>
    <xf numFmtId="0" fontId="0" fillId="21" borderId="0" xfId="0" applyFill="1" applyAlignment="1" applyProtection="1">
      <alignment vertical="top" wrapText="1"/>
      <protection/>
    </xf>
    <xf numFmtId="0" fontId="49" fillId="24" borderId="0" xfId="0" applyFont="1" applyFill="1" applyAlignment="1" applyProtection="1">
      <alignment vertical="top" wrapText="1"/>
      <protection/>
    </xf>
    <xf numFmtId="0" fontId="5" fillId="21" borderId="125" xfId="65" applyFill="1" applyBorder="1" applyAlignment="1" applyProtection="1">
      <alignment horizontal="center" vertical="top" wrapText="1"/>
      <protection/>
    </xf>
    <xf numFmtId="0" fontId="5" fillId="21" borderId="126" xfId="65" applyFill="1" applyBorder="1" applyAlignment="1" applyProtection="1">
      <alignment horizontal="center" vertical="top" wrapText="1"/>
      <protection/>
    </xf>
    <xf numFmtId="0" fontId="5" fillId="21" borderId="74" xfId="65" applyFill="1" applyBorder="1" applyAlignment="1" applyProtection="1">
      <alignment horizontal="center" vertical="top" wrapText="1"/>
      <protection/>
    </xf>
    <xf numFmtId="0" fontId="5" fillId="35" borderId="0" xfId="65" applyFill="1" applyAlignment="1" applyProtection="1">
      <alignment vertical="top" wrapText="1"/>
      <protection/>
    </xf>
    <xf numFmtId="0" fontId="5" fillId="0" borderId="0" xfId="65" applyAlignment="1" applyProtection="1">
      <alignment vertical="top" wrapText="1"/>
      <protection/>
    </xf>
    <xf numFmtId="0" fontId="31" fillId="24" borderId="0" xfId="0" applyNumberFormat="1" applyFont="1" applyFill="1" applyAlignment="1" applyProtection="1">
      <alignment horizontal="left" vertical="top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0" fontId="0" fillId="20" borderId="85" xfId="0" applyFill="1" applyBorder="1" applyAlignment="1" applyProtection="1">
      <alignment horizontal="center" vertical="top" wrapText="1"/>
      <protection/>
    </xf>
    <xf numFmtId="0" fontId="0" fillId="20" borderId="12" xfId="0" applyFill="1" applyBorder="1" applyAlignment="1" applyProtection="1">
      <alignment horizontal="center" vertical="top" wrapText="1"/>
      <protection/>
    </xf>
    <xf numFmtId="0" fontId="0" fillId="20" borderId="127" xfId="0" applyFill="1" applyBorder="1" applyAlignment="1" applyProtection="1">
      <alignment horizontal="center" vertical="top" wrapText="1"/>
      <protection/>
    </xf>
    <xf numFmtId="0" fontId="0" fillId="20" borderId="88" xfId="0" applyFill="1" applyBorder="1" applyAlignment="1" applyProtection="1">
      <alignment horizontal="center" vertical="top" wrapText="1"/>
      <protection/>
    </xf>
    <xf numFmtId="0" fontId="0" fillId="20" borderId="0" xfId="0" applyFill="1" applyBorder="1" applyAlignment="1" applyProtection="1">
      <alignment horizontal="center" vertical="top" wrapText="1"/>
      <protection/>
    </xf>
    <xf numFmtId="0" fontId="0" fillId="20" borderId="28" xfId="0" applyFill="1" applyBorder="1" applyAlignment="1" applyProtection="1">
      <alignment horizontal="center" vertical="top" wrapText="1"/>
      <protection/>
    </xf>
    <xf numFmtId="0" fontId="0" fillId="20" borderId="94" xfId="0" applyFill="1" applyBorder="1" applyAlignment="1" applyProtection="1">
      <alignment horizontal="center" vertical="top" wrapText="1"/>
      <protection/>
    </xf>
    <xf numFmtId="0" fontId="0" fillId="20" borderId="10" xfId="0" applyFill="1" applyBorder="1" applyAlignment="1" applyProtection="1">
      <alignment horizontal="center" vertical="top" wrapText="1"/>
      <protection/>
    </xf>
    <xf numFmtId="0" fontId="0" fillId="20" borderId="41" xfId="0" applyFill="1" applyBorder="1" applyAlignment="1" applyProtection="1">
      <alignment horizontal="center" vertical="top" wrapText="1"/>
      <protection/>
    </xf>
    <xf numFmtId="0" fontId="0" fillId="35" borderId="0" xfId="0" applyFont="1" applyFill="1" applyAlignment="1" applyProtection="1">
      <alignment vertical="top" wrapText="1"/>
      <protection/>
    </xf>
    <xf numFmtId="0" fontId="0" fillId="32" borderId="128" xfId="0" applyNumberFormat="1" applyFont="1" applyFill="1" applyBorder="1" applyAlignment="1" applyProtection="1">
      <alignment horizontal="center" vertical="top"/>
      <protection/>
    </xf>
    <xf numFmtId="0" fontId="0" fillId="32" borderId="27" xfId="0" applyNumberFormat="1" applyFont="1" applyFill="1" applyBorder="1" applyAlignment="1" applyProtection="1">
      <alignment horizontal="center" vertical="top"/>
      <protection/>
    </xf>
    <xf numFmtId="0" fontId="0" fillId="32" borderId="129" xfId="0" applyNumberFormat="1" applyFont="1" applyFill="1" applyBorder="1" applyAlignment="1" applyProtection="1">
      <alignment horizontal="center" vertical="top"/>
      <protection/>
    </xf>
    <xf numFmtId="0" fontId="0" fillId="32" borderId="23" xfId="0" applyNumberFormat="1" applyFont="1" applyFill="1" applyBorder="1" applyAlignment="1" applyProtection="1">
      <alignment horizontal="center" vertical="top"/>
      <protection/>
    </xf>
    <xf numFmtId="0" fontId="5" fillId="21" borderId="0" xfId="65" applyFill="1" applyAlignment="1" applyProtection="1">
      <alignment horizontal="left" vertical="top" wrapText="1"/>
      <protection/>
    </xf>
    <xf numFmtId="0" fontId="0" fillId="21" borderId="0" xfId="0" applyFill="1" applyAlignment="1" applyProtection="1">
      <alignment horizontal="left" vertical="top" wrapText="1"/>
      <protection/>
    </xf>
    <xf numFmtId="0" fontId="0" fillId="32" borderId="130" xfId="0" applyNumberFormat="1" applyFont="1" applyFill="1" applyBorder="1" applyAlignment="1" applyProtection="1">
      <alignment horizontal="center" vertical="top"/>
      <protection/>
    </xf>
    <xf numFmtId="0" fontId="0" fillId="32" borderId="110" xfId="0" applyNumberFormat="1" applyFont="1" applyFill="1" applyBorder="1" applyAlignment="1" applyProtection="1">
      <alignment horizontal="center" vertical="top"/>
      <protection/>
    </xf>
    <xf numFmtId="0" fontId="0" fillId="32" borderId="113" xfId="0" applyNumberFormat="1" applyFont="1" applyFill="1" applyBorder="1" applyAlignment="1" applyProtection="1">
      <alignment horizontal="center" vertical="top"/>
      <protection/>
    </xf>
    <xf numFmtId="0" fontId="0" fillId="32" borderId="131" xfId="0" applyNumberFormat="1" applyFont="1" applyFill="1" applyBorder="1" applyAlignment="1" applyProtection="1">
      <alignment horizontal="center" vertical="top"/>
      <protection/>
    </xf>
    <xf numFmtId="0" fontId="0" fillId="28" borderId="86" xfId="0" applyFont="1" applyFill="1" applyBorder="1" applyAlignment="1" applyProtection="1">
      <alignment horizontal="left" vertical="top" wrapText="1"/>
      <protection locked="0"/>
    </xf>
    <xf numFmtId="0" fontId="0" fillId="28" borderId="32" xfId="0" applyFill="1" applyBorder="1" applyAlignment="1" applyProtection="1">
      <alignment horizontal="left" vertical="top" wrapText="1"/>
      <protection locked="0"/>
    </xf>
    <xf numFmtId="0" fontId="0" fillId="28" borderId="30" xfId="0" applyFill="1" applyBorder="1" applyAlignment="1" applyProtection="1">
      <alignment horizontal="left" vertical="top" wrapText="1"/>
      <protection locked="0"/>
    </xf>
    <xf numFmtId="0" fontId="7" fillId="31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9" fillId="24" borderId="0" xfId="0" applyNumberFormat="1" applyFont="1" applyFill="1" applyBorder="1" applyAlignment="1" applyProtection="1">
      <alignment horizontal="left" vertical="top" wrapText="1"/>
      <protection/>
    </xf>
    <xf numFmtId="0" fontId="7" fillId="24" borderId="0" xfId="0" applyFont="1" applyFill="1" applyAlignment="1" applyProtection="1">
      <alignment vertical="top" wrapText="1"/>
      <protection/>
    </xf>
    <xf numFmtId="0" fontId="32" fillId="24" borderId="0" xfId="0" applyFont="1" applyFill="1" applyAlignment="1" applyProtection="1">
      <alignment horizontal="left" vertical="top" wrapText="1"/>
      <protection/>
    </xf>
    <xf numFmtId="0" fontId="0" fillId="28" borderId="86" xfId="0" applyNumberFormat="1" applyFont="1" applyFill="1" applyBorder="1" applyAlignment="1" applyProtection="1">
      <alignment horizontal="left" vertical="top"/>
      <protection locked="0"/>
    </xf>
    <xf numFmtId="0" fontId="0" fillId="28" borderId="32" xfId="0" applyNumberFormat="1" applyFont="1" applyFill="1" applyBorder="1" applyAlignment="1" applyProtection="1">
      <alignment horizontal="left" vertical="top"/>
      <protection locked="0"/>
    </xf>
    <xf numFmtId="0" fontId="0" fillId="28" borderId="30" xfId="0" applyNumberFormat="1" applyFont="1" applyFill="1" applyBorder="1" applyAlignment="1" applyProtection="1">
      <alignment horizontal="left" vertical="top"/>
      <protection locked="0"/>
    </xf>
    <xf numFmtId="0" fontId="7" fillId="24" borderId="0" xfId="0" applyFont="1" applyFill="1" applyAlignment="1" applyProtection="1">
      <alignment horizontal="left" vertical="top" wrapText="1"/>
      <protection/>
    </xf>
    <xf numFmtId="0" fontId="7" fillId="31" borderId="0" xfId="0" applyFont="1" applyFill="1" applyBorder="1" applyAlignment="1" applyProtection="1">
      <alignment horizontal="left" vertical="top" wrapText="1"/>
      <protection/>
    </xf>
    <xf numFmtId="0" fontId="0" fillId="31" borderId="93" xfId="0" applyFont="1" applyFill="1" applyBorder="1" applyAlignment="1" applyProtection="1">
      <alignment horizontal="left" vertical="top" wrapText="1"/>
      <protection/>
    </xf>
    <xf numFmtId="0" fontId="0" fillId="31" borderId="93" xfId="0" applyFill="1" applyBorder="1" applyAlignment="1" applyProtection="1">
      <alignment horizontal="left" vertical="top" wrapText="1"/>
      <protection/>
    </xf>
    <xf numFmtId="0" fontId="0" fillId="31" borderId="14" xfId="0" applyFill="1" applyBorder="1" applyAlignment="1" applyProtection="1">
      <alignment horizontal="left" vertical="top" wrapText="1"/>
      <protection/>
    </xf>
    <xf numFmtId="0" fontId="0" fillId="31" borderId="92" xfId="0" applyFont="1" applyFill="1" applyBorder="1" applyAlignment="1" applyProtection="1">
      <alignment horizontal="left" vertical="top" wrapText="1"/>
      <protection/>
    </xf>
    <xf numFmtId="0" fontId="0" fillId="31" borderId="92" xfId="0" applyFill="1" applyBorder="1" applyAlignment="1" applyProtection="1">
      <alignment horizontal="left" vertical="top" wrapText="1"/>
      <protection/>
    </xf>
    <xf numFmtId="0" fontId="0" fillId="31" borderId="15" xfId="0" applyFill="1" applyBorder="1" applyAlignment="1" applyProtection="1">
      <alignment horizontal="left" vertical="top" wrapText="1"/>
      <protection/>
    </xf>
    <xf numFmtId="0" fontId="0" fillId="31" borderId="91" xfId="0" applyFont="1" applyFill="1" applyBorder="1" applyAlignment="1" applyProtection="1">
      <alignment horizontal="left" vertical="top" wrapText="1"/>
      <protection/>
    </xf>
    <xf numFmtId="0" fontId="0" fillId="31" borderId="91" xfId="0" applyFill="1" applyBorder="1" applyAlignment="1" applyProtection="1">
      <alignment horizontal="left" vertical="top" wrapText="1"/>
      <protection/>
    </xf>
    <xf numFmtId="0" fontId="0" fillId="31" borderId="13" xfId="0" applyFill="1" applyBorder="1" applyAlignment="1" applyProtection="1">
      <alignment horizontal="left" vertical="top" wrapText="1"/>
      <protection/>
    </xf>
    <xf numFmtId="0" fontId="31" fillId="4" borderId="0" xfId="0" applyNumberFormat="1" applyFont="1" applyFill="1" applyBorder="1" applyAlignment="1" applyProtection="1">
      <alignment vertical="top" wrapText="1"/>
      <protection/>
    </xf>
    <xf numFmtId="0" fontId="32" fillId="24" borderId="0" xfId="0" applyFont="1" applyFill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28" borderId="106" xfId="0" applyFont="1" applyFill="1" applyBorder="1" applyAlignment="1" applyProtection="1">
      <alignment vertical="top"/>
      <protection locked="0"/>
    </xf>
    <xf numFmtId="0" fontId="0" fillId="28" borderId="93" xfId="0" applyFont="1" applyFill="1" applyBorder="1" applyAlignment="1" applyProtection="1">
      <alignment vertical="top"/>
      <protection locked="0"/>
    </xf>
    <xf numFmtId="49" fontId="0" fillId="28" borderId="106" xfId="0" applyNumberFormat="1" applyFont="1" applyFill="1" applyBorder="1" applyAlignment="1" applyProtection="1">
      <alignment horizontal="left" vertical="top"/>
      <protection locked="0"/>
    </xf>
    <xf numFmtId="49" fontId="0" fillId="0" borderId="93" xfId="0" applyNumberFormat="1" applyFont="1" applyBorder="1" applyAlignment="1" applyProtection="1">
      <alignment horizontal="left" vertical="top"/>
      <protection locked="0"/>
    </xf>
    <xf numFmtId="0" fontId="0" fillId="24" borderId="93" xfId="0" applyFont="1" applyFill="1" applyBorder="1" applyAlignment="1" applyProtection="1">
      <alignment vertical="top" wrapText="1"/>
      <protection/>
    </xf>
    <xf numFmtId="0" fontId="0" fillId="0" borderId="93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28" fillId="24" borderId="0" xfId="0" applyFont="1" applyFill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49" fontId="0" fillId="28" borderId="86" xfId="0" applyNumberFormat="1" applyFont="1" applyFill="1" applyBorder="1" applyAlignment="1" applyProtection="1">
      <alignment horizontal="left" vertical="top"/>
      <protection locked="0"/>
    </xf>
    <xf numFmtId="49" fontId="0" fillId="0" borderId="32" xfId="0" applyNumberFormat="1" applyFont="1" applyBorder="1" applyAlignment="1" applyProtection="1">
      <alignment horizontal="left" vertical="top"/>
      <protection locked="0"/>
    </xf>
    <xf numFmtId="49" fontId="0" fillId="0" borderId="30" xfId="0" applyNumberFormat="1" applyFont="1" applyBorder="1" applyAlignment="1" applyProtection="1">
      <alignment horizontal="left" vertical="top"/>
      <protection locked="0"/>
    </xf>
    <xf numFmtId="0" fontId="3" fillId="24" borderId="92" xfId="0" applyFont="1" applyFill="1" applyBorder="1" applyAlignment="1" applyProtection="1">
      <alignment horizontal="left" vertical="top" wrapText="1"/>
      <protection/>
    </xf>
    <xf numFmtId="0" fontId="3" fillId="24" borderId="15" xfId="0" applyFont="1" applyFill="1" applyBorder="1" applyAlignment="1" applyProtection="1">
      <alignment horizontal="left" vertical="top" wrapText="1"/>
      <protection/>
    </xf>
    <xf numFmtId="0" fontId="3" fillId="24" borderId="91" xfId="0" applyFont="1" applyFill="1" applyBorder="1" applyAlignment="1" applyProtection="1">
      <alignment horizontal="left" vertical="top" wrapText="1"/>
      <protection/>
    </xf>
    <xf numFmtId="0" fontId="3" fillId="24" borderId="13" xfId="0" applyFont="1" applyFill="1" applyBorder="1" applyAlignment="1" applyProtection="1">
      <alignment horizontal="left" vertical="top" wrapText="1"/>
      <protection/>
    </xf>
    <xf numFmtId="0" fontId="0" fillId="30" borderId="105" xfId="0" applyNumberFormat="1" applyFont="1" applyFill="1" applyBorder="1" applyAlignment="1" applyProtection="1">
      <alignment horizontal="left" vertical="top"/>
      <protection/>
    </xf>
    <xf numFmtId="0" fontId="0" fillId="30" borderId="91" xfId="0" applyNumberFormat="1" applyFont="1" applyFill="1" applyBorder="1" applyAlignment="1" applyProtection="1">
      <alignment horizontal="left" vertical="top"/>
      <protection/>
    </xf>
    <xf numFmtId="0" fontId="0" fillId="30" borderId="13" xfId="0" applyNumberFormat="1" applyFont="1" applyFill="1" applyBorder="1" applyAlignment="1" applyProtection="1">
      <alignment horizontal="left" vertical="top"/>
      <protection/>
    </xf>
    <xf numFmtId="0" fontId="0" fillId="34" borderId="107" xfId="0" applyNumberFormat="1" applyFont="1" applyFill="1" applyBorder="1" applyAlignment="1" applyProtection="1">
      <alignment horizontal="left" vertical="top"/>
      <protection locked="0"/>
    </xf>
    <xf numFmtId="0" fontId="0" fillId="34" borderId="92" xfId="0" applyNumberFormat="1" applyFont="1" applyFill="1" applyBorder="1" applyAlignment="1" applyProtection="1">
      <alignment horizontal="left" vertical="top"/>
      <protection locked="0"/>
    </xf>
    <xf numFmtId="0" fontId="0" fillId="34" borderId="15" xfId="0" applyNumberFormat="1" applyFont="1" applyFill="1" applyBorder="1" applyAlignment="1" applyProtection="1">
      <alignment horizontal="left" vertical="top"/>
      <protection locked="0"/>
    </xf>
    <xf numFmtId="0" fontId="0" fillId="28" borderId="86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NumberFormat="1" applyFont="1" applyBorder="1" applyAlignment="1" applyProtection="1">
      <alignment horizontal="left" vertical="top"/>
      <protection locked="0"/>
    </xf>
    <xf numFmtId="0" fontId="0" fillId="0" borderId="30" xfId="0" applyNumberFormat="1" applyFont="1" applyBorder="1" applyAlignment="1" applyProtection="1">
      <alignment horizontal="left" vertical="top"/>
      <protection locked="0"/>
    </xf>
    <xf numFmtId="0" fontId="0" fillId="4" borderId="11" xfId="0" applyNumberFormat="1" applyFont="1" applyFill="1" applyBorder="1" applyAlignment="1" applyProtection="1">
      <alignment horizontal="left" vertical="top"/>
      <protection/>
    </xf>
    <xf numFmtId="0" fontId="0" fillId="30" borderId="86" xfId="0" applyNumberFormat="1" applyFont="1" applyFill="1" applyBorder="1" applyAlignment="1" applyProtection="1">
      <alignment horizontal="left" vertical="top"/>
      <protection/>
    </xf>
    <xf numFmtId="0" fontId="0" fillId="30" borderId="32" xfId="0" applyNumberFormat="1" applyFont="1" applyFill="1" applyBorder="1" applyAlignment="1" applyProtection="1">
      <alignment horizontal="left" vertical="top"/>
      <protection/>
    </xf>
    <xf numFmtId="0" fontId="0" fillId="30" borderId="30" xfId="0" applyNumberFormat="1" applyFont="1" applyFill="1" applyBorder="1" applyAlignment="1" applyProtection="1">
      <alignment horizontal="left" vertical="top"/>
      <protection/>
    </xf>
    <xf numFmtId="0" fontId="3" fillId="24" borderId="32" xfId="0" applyFont="1" applyFill="1" applyBorder="1" applyAlignment="1" applyProtection="1">
      <alignment horizontal="left" vertical="top" wrapText="1"/>
      <protection/>
    </xf>
    <xf numFmtId="0" fontId="3" fillId="24" borderId="30" xfId="0" applyFont="1" applyFill="1" applyBorder="1" applyAlignment="1" applyProtection="1">
      <alignment horizontal="left" vertical="top" wrapText="1"/>
      <protection/>
    </xf>
    <xf numFmtId="0" fontId="3" fillId="28" borderId="86" xfId="0" applyNumberFormat="1" applyFont="1" applyFill="1" applyBorder="1" applyAlignment="1" applyProtection="1">
      <alignment horizontal="center" vertical="top"/>
      <protection locked="0"/>
    </xf>
    <xf numFmtId="0" fontId="3" fillId="28" borderId="30" xfId="0" applyNumberFormat="1" applyFont="1" applyFill="1" applyBorder="1" applyAlignment="1" applyProtection="1">
      <alignment horizontal="center" vertical="top"/>
      <protection locked="0"/>
    </xf>
    <xf numFmtId="0" fontId="0" fillId="24" borderId="92" xfId="0" applyFont="1" applyFill="1" applyBorder="1" applyAlignment="1" applyProtection="1">
      <alignment vertical="top" wrapText="1"/>
      <protection/>
    </xf>
    <xf numFmtId="0" fontId="0" fillId="0" borderId="92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49" fontId="0" fillId="23" borderId="106" xfId="0" applyNumberFormat="1" applyFont="1" applyFill="1" applyBorder="1" applyAlignment="1" applyProtection="1">
      <alignment horizontal="left" vertical="top"/>
      <protection locked="0"/>
    </xf>
    <xf numFmtId="49" fontId="0" fillId="23" borderId="93" xfId="0" applyNumberFormat="1" applyFont="1" applyFill="1" applyBorder="1" applyAlignment="1" applyProtection="1">
      <alignment horizontal="left" vertical="top"/>
      <protection locked="0"/>
    </xf>
    <xf numFmtId="49" fontId="0" fillId="23" borderId="86" xfId="0" applyNumberFormat="1" applyFont="1" applyFill="1" applyBorder="1" applyAlignment="1" applyProtection="1">
      <alignment horizontal="left" vertical="top"/>
      <protection locked="0"/>
    </xf>
    <xf numFmtId="49" fontId="0" fillId="23" borderId="32" xfId="0" applyNumberFormat="1" applyFont="1" applyFill="1" applyBorder="1" applyAlignment="1" applyProtection="1">
      <alignment horizontal="left" vertical="top"/>
      <protection locked="0"/>
    </xf>
    <xf numFmtId="49" fontId="0" fillId="23" borderId="30" xfId="0" applyNumberFormat="1" applyFont="1" applyFill="1" applyBorder="1" applyAlignment="1" applyProtection="1">
      <alignment horizontal="left" vertical="top"/>
      <protection locked="0"/>
    </xf>
    <xf numFmtId="0" fontId="28" fillId="24" borderId="0" xfId="0" applyFont="1" applyFill="1" applyAlignment="1" applyProtection="1">
      <alignment horizontal="center"/>
      <protection/>
    </xf>
    <xf numFmtId="49" fontId="0" fillId="28" borderId="105" xfId="0" applyNumberFormat="1" applyFont="1" applyFill="1" applyBorder="1" applyAlignment="1" applyProtection="1">
      <alignment horizontal="left" vertical="top"/>
      <protection locked="0"/>
    </xf>
    <xf numFmtId="49" fontId="0" fillId="0" borderId="91" xfId="0" applyNumberFormat="1" applyFont="1" applyBorder="1" applyAlignment="1" applyProtection="1">
      <alignment horizontal="left" vertical="top"/>
      <protection locked="0"/>
    </xf>
    <xf numFmtId="0" fontId="50" fillId="24" borderId="0" xfId="0" applyFont="1" applyFill="1" applyAlignment="1" applyProtection="1">
      <alignment horizontal="left" vertical="top" wrapText="1"/>
      <protection/>
    </xf>
    <xf numFmtId="0" fontId="0" fillId="28" borderId="106" xfId="0" applyNumberFormat="1" applyFont="1" applyFill="1" applyBorder="1" applyAlignment="1" applyProtection="1">
      <alignment horizontal="left" vertical="top"/>
      <protection locked="0"/>
    </xf>
    <xf numFmtId="0" fontId="0" fillId="28" borderId="14" xfId="0" applyNumberFormat="1" applyFont="1" applyFill="1" applyBorder="1" applyAlignment="1" applyProtection="1">
      <alignment horizontal="left" vertical="top"/>
      <protection locked="0"/>
    </xf>
    <xf numFmtId="0" fontId="3" fillId="31" borderId="94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left" vertical="top"/>
      <protection locked="0"/>
    </xf>
    <xf numFmtId="0" fontId="0" fillId="28" borderId="105" xfId="0" applyNumberFormat="1" applyFont="1" applyFill="1" applyBorder="1" applyAlignment="1" applyProtection="1">
      <alignment horizontal="left" vertical="top"/>
      <protection locked="0"/>
    </xf>
    <xf numFmtId="0" fontId="0" fillId="28" borderId="91" xfId="0" applyNumberFormat="1" applyFont="1" applyFill="1" applyBorder="1" applyAlignment="1" applyProtection="1">
      <alignment horizontal="left" vertical="top"/>
      <protection locked="0"/>
    </xf>
    <xf numFmtId="0" fontId="0" fillId="28" borderId="13" xfId="0" applyNumberFormat="1" applyFont="1" applyFill="1" applyBorder="1" applyAlignment="1" applyProtection="1">
      <alignment horizontal="left" vertical="top"/>
      <protection locked="0"/>
    </xf>
    <xf numFmtId="0" fontId="0" fillId="28" borderId="105" xfId="0" applyNumberFormat="1" applyFont="1" applyFill="1" applyBorder="1" applyAlignment="1" applyProtection="1">
      <alignment horizontal="left" vertical="top"/>
      <protection locked="0"/>
    </xf>
    <xf numFmtId="0" fontId="0" fillId="28" borderId="105" xfId="0" applyNumberFormat="1" applyFont="1" applyFill="1" applyBorder="1" applyAlignment="1" applyProtection="1">
      <alignment vertical="top"/>
      <protection locked="0"/>
    </xf>
    <xf numFmtId="0" fontId="0" fillId="0" borderId="91" xfId="0" applyBorder="1" applyAlignment="1" applyProtection="1">
      <alignment vertical="top"/>
      <protection locked="0"/>
    </xf>
    <xf numFmtId="0" fontId="0" fillId="28" borderId="106" xfId="0" applyNumberFormat="1" applyFont="1" applyFill="1" applyBorder="1" applyAlignment="1" applyProtection="1">
      <alignment vertical="top"/>
      <protection locked="0"/>
    </xf>
    <xf numFmtId="0" fontId="0" fillId="0" borderId="9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wrapText="1"/>
      <protection/>
    </xf>
    <xf numFmtId="49" fontId="3" fillId="28" borderId="107" xfId="0" applyNumberFormat="1" applyFont="1" applyFill="1" applyBorder="1" applyAlignment="1" applyProtection="1">
      <alignment vertical="top"/>
      <protection locked="0"/>
    </xf>
    <xf numFmtId="49" fontId="3" fillId="28" borderId="15" xfId="0" applyNumberFormat="1" applyFont="1" applyFill="1" applyBorder="1" applyAlignment="1" applyProtection="1">
      <alignment vertical="top"/>
      <protection locked="0"/>
    </xf>
    <xf numFmtId="0" fontId="0" fillId="28" borderId="93" xfId="0" applyNumberFormat="1" applyFont="1" applyFill="1" applyBorder="1" applyAlignment="1" applyProtection="1">
      <alignment horizontal="left" vertical="top"/>
      <protection locked="0"/>
    </xf>
    <xf numFmtId="49" fontId="3" fillId="28" borderId="106" xfId="0" applyNumberFormat="1" applyFont="1" applyFill="1" applyBorder="1" applyAlignment="1" applyProtection="1">
      <alignment vertical="top"/>
      <protection locked="0"/>
    </xf>
    <xf numFmtId="49" fontId="3" fillId="28" borderId="14" xfId="0" applyNumberFormat="1" applyFont="1" applyFill="1" applyBorder="1" applyAlignment="1" applyProtection="1">
      <alignment vertical="top"/>
      <protection locked="0"/>
    </xf>
    <xf numFmtId="0" fontId="0" fillId="23" borderId="106" xfId="0" applyNumberFormat="1" applyFont="1" applyFill="1" applyBorder="1" applyAlignment="1" applyProtection="1">
      <alignment horizontal="left" vertical="top"/>
      <protection locked="0"/>
    </xf>
    <xf numFmtId="0" fontId="0" fillId="23" borderId="93" xfId="0" applyNumberFormat="1" applyFont="1" applyFill="1" applyBorder="1" applyAlignment="1" applyProtection="1">
      <alignment horizontal="left" vertical="top"/>
      <protection locked="0"/>
    </xf>
    <xf numFmtId="0" fontId="0" fillId="23" borderId="14" xfId="0" applyNumberFormat="1" applyFont="1" applyFill="1" applyBorder="1" applyAlignment="1" applyProtection="1">
      <alignment horizontal="left" vertical="top"/>
      <protection locked="0"/>
    </xf>
    <xf numFmtId="0" fontId="0" fillId="28" borderId="107" xfId="0" applyNumberFormat="1" applyFont="1" applyFill="1" applyBorder="1" applyAlignment="1" applyProtection="1">
      <alignment horizontal="left" vertical="top"/>
      <protection locked="0"/>
    </xf>
    <xf numFmtId="0" fontId="0" fillId="28" borderId="92" xfId="0" applyNumberFormat="1" applyFont="1" applyFill="1" applyBorder="1" applyAlignment="1" applyProtection="1">
      <alignment horizontal="left" vertical="top"/>
      <protection locked="0"/>
    </xf>
    <xf numFmtId="0" fontId="0" fillId="28" borderId="15" xfId="0" applyNumberFormat="1" applyFont="1" applyFill="1" applyBorder="1" applyAlignment="1" applyProtection="1">
      <alignment horizontal="left" vertical="top"/>
      <protection locked="0"/>
    </xf>
    <xf numFmtId="49" fontId="0" fillId="23" borderId="106" xfId="0" applyNumberFormat="1" applyFont="1" applyFill="1" applyBorder="1" applyAlignment="1" applyProtection="1">
      <alignment horizontal="left" vertical="top"/>
      <protection locked="0"/>
    </xf>
    <xf numFmtId="49" fontId="0" fillId="23" borderId="93" xfId="0" applyNumberFormat="1" applyFont="1" applyFill="1" applyBorder="1" applyAlignment="1" applyProtection="1">
      <alignment horizontal="left" vertical="top"/>
      <protection locked="0"/>
    </xf>
    <xf numFmtId="0" fontId="0" fillId="23" borderId="107" xfId="0" applyNumberFormat="1" applyFont="1" applyFill="1" applyBorder="1" applyAlignment="1" applyProtection="1">
      <alignment horizontal="left" vertical="top"/>
      <protection locked="0"/>
    </xf>
    <xf numFmtId="0" fontId="0" fillId="23" borderId="15" xfId="0" applyNumberFormat="1" applyFont="1" applyFill="1" applyBorder="1" applyAlignment="1" applyProtection="1">
      <alignment horizontal="left" vertical="top"/>
      <protection locked="0"/>
    </xf>
    <xf numFmtId="49" fontId="0" fillId="23" borderId="107" xfId="0" applyNumberFormat="1" applyFont="1" applyFill="1" applyBorder="1" applyAlignment="1" applyProtection="1">
      <alignment horizontal="left" vertical="top"/>
      <protection locked="0"/>
    </xf>
    <xf numFmtId="49" fontId="0" fillId="23" borderId="92" xfId="0" applyNumberFormat="1" applyFont="1" applyFill="1" applyBorder="1" applyAlignment="1" applyProtection="1">
      <alignment horizontal="left" vertical="top"/>
      <protection locked="0"/>
    </xf>
    <xf numFmtId="0" fontId="0" fillId="23" borderId="92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23" borderId="105" xfId="0" applyNumberFormat="1" applyFont="1" applyFill="1" applyBorder="1" applyAlignment="1" applyProtection="1">
      <alignment horizontal="left" vertical="top"/>
      <protection locked="0"/>
    </xf>
    <xf numFmtId="0" fontId="0" fillId="23" borderId="13" xfId="0" applyNumberFormat="1" applyFont="1" applyFill="1" applyBorder="1" applyAlignment="1" applyProtection="1">
      <alignment horizontal="left" vertical="top"/>
      <protection locked="0"/>
    </xf>
    <xf numFmtId="0" fontId="0" fillId="28" borderId="107" xfId="0" applyNumberFormat="1" applyFont="1" applyFill="1" applyBorder="1" applyAlignment="1" applyProtection="1">
      <alignment vertical="top"/>
      <protection locked="0"/>
    </xf>
    <xf numFmtId="0" fontId="0" fillId="0" borderId="92" xfId="0" applyBorder="1" applyAlignment="1" applyProtection="1">
      <alignment vertical="top"/>
      <protection locked="0"/>
    </xf>
    <xf numFmtId="49" fontId="3" fillId="28" borderId="105" xfId="0" applyNumberFormat="1" applyFont="1" applyFill="1" applyBorder="1" applyAlignment="1" applyProtection="1">
      <alignment vertical="top"/>
      <protection locked="0"/>
    </xf>
    <xf numFmtId="49" fontId="3" fillId="28" borderId="13" xfId="0" applyNumberFormat="1" applyFont="1" applyFill="1" applyBorder="1" applyAlignment="1" applyProtection="1">
      <alignment vertical="top"/>
      <protection locked="0"/>
    </xf>
    <xf numFmtId="0" fontId="3" fillId="0" borderId="94" xfId="0" applyNumberFormat="1" applyFont="1" applyFill="1" applyBorder="1" applyAlignment="1" applyProtection="1">
      <alignment wrapText="1"/>
      <protection/>
    </xf>
    <xf numFmtId="0" fontId="3" fillId="24" borderId="10" xfId="0" applyNumberFormat="1" applyFont="1" applyFill="1" applyBorder="1" applyAlignment="1" applyProtection="1">
      <alignment wrapText="1"/>
      <protection/>
    </xf>
    <xf numFmtId="0" fontId="0" fillId="23" borderId="91" xfId="0" applyNumberFormat="1" applyFont="1" applyFill="1" applyBorder="1" applyAlignment="1" applyProtection="1">
      <alignment horizontal="left" vertical="top"/>
      <protection locked="0"/>
    </xf>
    <xf numFmtId="49" fontId="0" fillId="23" borderId="105" xfId="0" applyNumberFormat="1" applyFont="1" applyFill="1" applyBorder="1" applyAlignment="1" applyProtection="1">
      <alignment horizontal="left" vertical="top"/>
      <protection locked="0"/>
    </xf>
    <xf numFmtId="49" fontId="0" fillId="23" borderId="91" xfId="0" applyNumberFormat="1" applyFont="1" applyFill="1" applyBorder="1" applyAlignment="1" applyProtection="1">
      <alignment horizontal="left" vertical="top"/>
      <protection locked="0"/>
    </xf>
    <xf numFmtId="0" fontId="3" fillId="24" borderId="0" xfId="0" applyFont="1" applyFill="1" applyAlignment="1" applyProtection="1">
      <alignment vertical="top" wrapText="1"/>
      <protection/>
    </xf>
    <xf numFmtId="49" fontId="0" fillId="23" borderId="107" xfId="0" applyNumberFormat="1" applyFont="1" applyFill="1" applyBorder="1" applyAlignment="1" applyProtection="1">
      <alignment horizontal="left" vertical="top"/>
      <protection locked="0"/>
    </xf>
    <xf numFmtId="49" fontId="0" fillId="23" borderId="92" xfId="0" applyNumberFormat="1" applyFont="1" applyFill="1" applyBorder="1" applyAlignment="1" applyProtection="1">
      <alignment horizontal="left" vertical="top"/>
      <protection locked="0"/>
    </xf>
    <xf numFmtId="0" fontId="0" fillId="24" borderId="91" xfId="0" applyFont="1" applyFill="1" applyBorder="1" applyAlignment="1" applyProtection="1">
      <alignment vertical="top" wrapText="1"/>
      <protection/>
    </xf>
    <xf numFmtId="0" fontId="0" fillId="0" borderId="91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28" borderId="105" xfId="0" applyFont="1" applyFill="1" applyBorder="1" applyAlignment="1" applyProtection="1">
      <alignment vertical="top"/>
      <protection locked="0"/>
    </xf>
    <xf numFmtId="0" fontId="0" fillId="0" borderId="91" xfId="0" applyFont="1" applyBorder="1" applyAlignment="1" applyProtection="1">
      <alignment/>
      <protection locked="0"/>
    </xf>
    <xf numFmtId="49" fontId="0" fillId="23" borderId="105" xfId="0" applyNumberFormat="1" applyFont="1" applyFill="1" applyBorder="1" applyAlignment="1" applyProtection="1">
      <alignment horizontal="left" vertical="top"/>
      <protection locked="0"/>
    </xf>
    <xf numFmtId="49" fontId="0" fillId="23" borderId="9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/>
    </xf>
    <xf numFmtId="0" fontId="3" fillId="24" borderId="10" xfId="0" applyFont="1" applyFill="1" applyBorder="1" applyAlignment="1" applyProtection="1">
      <alignment vertical="top" wrapText="1"/>
      <protection/>
    </xf>
    <xf numFmtId="0" fontId="3" fillId="24" borderId="10" xfId="0" applyFont="1" applyFill="1" applyBorder="1" applyAlignment="1" applyProtection="1">
      <alignment vertical="top" wrapText="1"/>
      <protection/>
    </xf>
    <xf numFmtId="0" fontId="3" fillId="21" borderId="4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28" borderId="107" xfId="0" applyFont="1" applyFill="1" applyBorder="1" applyAlignment="1" applyProtection="1">
      <alignment vertical="top"/>
      <protection locked="0"/>
    </xf>
    <xf numFmtId="0" fontId="0" fillId="28" borderId="92" xfId="0" applyFont="1" applyFill="1" applyBorder="1" applyAlignment="1" applyProtection="1">
      <alignment vertical="top"/>
      <protection locked="0"/>
    </xf>
    <xf numFmtId="0" fontId="3" fillId="31" borderId="0" xfId="0" applyFont="1" applyFill="1" applyBorder="1" applyAlignment="1" applyProtection="1">
      <alignment horizontal="left" vertical="top" wrapText="1"/>
      <protection/>
    </xf>
    <xf numFmtId="0" fontId="3" fillId="31" borderId="28" xfId="0" applyFont="1" applyFill="1" applyBorder="1" applyAlignment="1" applyProtection="1">
      <alignment horizontal="left" vertical="top" wrapText="1"/>
      <protection/>
    </xf>
    <xf numFmtId="0" fontId="0" fillId="28" borderId="11" xfId="0" applyNumberFormat="1" applyFont="1" applyFill="1" applyBorder="1" applyAlignment="1" applyProtection="1">
      <alignment horizontal="center" vertical="top"/>
      <protection locked="0"/>
    </xf>
    <xf numFmtId="0" fontId="0" fillId="33" borderId="107" xfId="0" applyNumberFormat="1" applyFont="1" applyFill="1" applyBorder="1" applyAlignment="1" applyProtection="1">
      <alignment horizontal="left" vertical="top"/>
      <protection locked="0"/>
    </xf>
    <xf numFmtId="0" fontId="0" fillId="33" borderId="92" xfId="0" applyNumberFormat="1" applyFont="1" applyFill="1" applyBorder="1" applyAlignment="1" applyProtection="1">
      <alignment horizontal="left" vertical="top"/>
      <protection locked="0"/>
    </xf>
    <xf numFmtId="0" fontId="0" fillId="33" borderId="15" xfId="0" applyNumberFormat="1" applyFont="1" applyFill="1" applyBorder="1" applyAlignment="1" applyProtection="1">
      <alignment horizontal="left" vertical="top"/>
      <protection locked="0"/>
    </xf>
    <xf numFmtId="49" fontId="0" fillId="31" borderId="0" xfId="0" applyNumberFormat="1" applyFont="1" applyFill="1" applyBorder="1" applyAlignment="1" applyProtection="1">
      <alignment horizontal="left" vertical="top"/>
      <protection/>
    </xf>
    <xf numFmtId="0" fontId="0" fillId="30" borderId="106" xfId="0" applyNumberFormat="1" applyFont="1" applyFill="1" applyBorder="1" applyAlignment="1" applyProtection="1">
      <alignment horizontal="left" vertical="top"/>
      <protection/>
    </xf>
    <xf numFmtId="0" fontId="0" fillId="30" borderId="93" xfId="0" applyNumberFormat="1" applyFont="1" applyFill="1" applyBorder="1" applyAlignment="1" applyProtection="1">
      <alignment horizontal="left" vertical="top"/>
      <protection/>
    </xf>
    <xf numFmtId="0" fontId="0" fillId="30" borderId="14" xfId="0" applyNumberFormat="1" applyFont="1" applyFill="1" applyBorder="1" applyAlignment="1" applyProtection="1">
      <alignment horizontal="left" vertical="top"/>
      <protection/>
    </xf>
    <xf numFmtId="0" fontId="0" fillId="24" borderId="107" xfId="0" applyNumberFormat="1" applyFont="1" applyFill="1" applyBorder="1" applyAlignment="1" applyProtection="1">
      <alignment horizontal="left" vertical="top" wrapText="1"/>
      <protection/>
    </xf>
    <xf numFmtId="0" fontId="0" fillId="24" borderId="92" xfId="0" applyNumberFormat="1" applyFont="1" applyFill="1" applyBorder="1" applyAlignment="1" applyProtection="1">
      <alignment horizontal="left" vertical="top" wrapText="1"/>
      <protection/>
    </xf>
    <xf numFmtId="0" fontId="0" fillId="24" borderId="15" xfId="0" applyNumberFormat="1" applyFont="1" applyFill="1" applyBorder="1" applyAlignment="1" applyProtection="1">
      <alignment horizontal="left" vertical="top" wrapText="1"/>
      <protection/>
    </xf>
    <xf numFmtId="0" fontId="0" fillId="24" borderId="105" xfId="0" applyNumberFormat="1" applyFont="1" applyFill="1" applyBorder="1" applyAlignment="1" applyProtection="1">
      <alignment horizontal="left" vertical="top" wrapText="1"/>
      <protection/>
    </xf>
    <xf numFmtId="0" fontId="0" fillId="24" borderId="91" xfId="0" applyNumberFormat="1" applyFont="1" applyFill="1" applyBorder="1" applyAlignment="1" applyProtection="1">
      <alignment horizontal="left" vertical="top" wrapText="1"/>
      <protection/>
    </xf>
    <xf numFmtId="0" fontId="0" fillId="24" borderId="13" xfId="0" applyNumberFormat="1" applyFont="1" applyFill="1" applyBorder="1" applyAlignment="1" applyProtection="1">
      <alignment horizontal="left" vertical="top" wrapText="1"/>
      <protection/>
    </xf>
    <xf numFmtId="0" fontId="0" fillId="24" borderId="106" xfId="0" applyNumberFormat="1" applyFont="1" applyFill="1" applyBorder="1" applyAlignment="1" applyProtection="1">
      <alignment horizontal="left" vertical="top" wrapText="1"/>
      <protection/>
    </xf>
    <xf numFmtId="0" fontId="0" fillId="24" borderId="93" xfId="0" applyNumberFormat="1" applyFont="1" applyFill="1" applyBorder="1" applyAlignment="1" applyProtection="1">
      <alignment horizontal="left" vertical="top" wrapText="1"/>
      <protection/>
    </xf>
    <xf numFmtId="0" fontId="0" fillId="24" borderId="14" xfId="0" applyNumberFormat="1" applyFont="1" applyFill="1" applyBorder="1" applyAlignment="1" applyProtection="1">
      <alignment horizontal="left" vertical="top" wrapText="1"/>
      <protection/>
    </xf>
    <xf numFmtId="0" fontId="0" fillId="24" borderId="108" xfId="0" applyNumberFormat="1" applyFont="1" applyFill="1" applyBorder="1" applyAlignment="1" applyProtection="1">
      <alignment horizontal="left" vertical="top" wrapText="1"/>
      <protection/>
    </xf>
    <xf numFmtId="0" fontId="0" fillId="24" borderId="132" xfId="0" applyNumberFormat="1" applyFont="1" applyFill="1" applyBorder="1" applyAlignment="1" applyProtection="1">
      <alignment horizontal="left" vertical="top" wrapText="1"/>
      <protection/>
    </xf>
    <xf numFmtId="0" fontId="0" fillId="24" borderId="18" xfId="0" applyNumberFormat="1" applyFont="1" applyFill="1" applyBorder="1" applyAlignment="1" applyProtection="1">
      <alignment horizontal="left" vertical="top" wrapText="1"/>
      <protection/>
    </xf>
    <xf numFmtId="0" fontId="0" fillId="24" borderId="113" xfId="0" applyNumberFormat="1" applyFont="1" applyFill="1" applyBorder="1" applyAlignment="1" applyProtection="1">
      <alignment horizontal="left" vertical="top"/>
      <protection/>
    </xf>
    <xf numFmtId="0" fontId="0" fillId="24" borderId="109" xfId="0" applyNumberFormat="1" applyFont="1" applyFill="1" applyBorder="1" applyAlignment="1" applyProtection="1">
      <alignment horizontal="left" vertical="top"/>
      <protection/>
    </xf>
    <xf numFmtId="0" fontId="0" fillId="24" borderId="110" xfId="0" applyNumberFormat="1" applyFont="1" applyFill="1" applyBorder="1" applyAlignment="1" applyProtection="1">
      <alignment horizontal="left" vertical="top"/>
      <protection/>
    </xf>
    <xf numFmtId="0" fontId="0" fillId="24" borderId="129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Border="1" applyAlignment="1" applyProtection="1">
      <alignment horizontal="left" vertical="top" wrapText="1"/>
      <protection/>
    </xf>
    <xf numFmtId="0" fontId="0" fillId="0" borderId="27" xfId="0" applyNumberFormat="1" applyBorder="1" applyAlignment="1" applyProtection="1">
      <alignment horizontal="left" vertical="top" wrapText="1"/>
      <protection/>
    </xf>
    <xf numFmtId="0" fontId="29" fillId="4" borderId="64" xfId="0" applyFont="1" applyFill="1" applyBorder="1" applyAlignment="1" applyProtection="1">
      <alignment horizontal="center" vertical="center" wrapText="1"/>
      <protection/>
    </xf>
    <xf numFmtId="0" fontId="29" fillId="4" borderId="65" xfId="0" applyFont="1" applyFill="1" applyBorder="1" applyAlignment="1" applyProtection="1">
      <alignment horizontal="center" vertical="center" wrapText="1"/>
      <protection/>
    </xf>
    <xf numFmtId="0" fontId="29" fillId="4" borderId="66" xfId="0" applyFont="1" applyFill="1" applyBorder="1" applyAlignment="1" applyProtection="1">
      <alignment horizontal="center" vertical="center" wrapText="1"/>
      <protection/>
    </xf>
    <xf numFmtId="0" fontId="3" fillId="30" borderId="37" xfId="0" applyFont="1" applyFill="1" applyBorder="1" applyAlignment="1" applyProtection="1">
      <alignment horizontal="center" vertical="center"/>
      <protection/>
    </xf>
    <xf numFmtId="0" fontId="0" fillId="30" borderId="108" xfId="0" applyNumberFormat="1" applyFont="1" applyFill="1" applyBorder="1" applyAlignment="1" applyProtection="1">
      <alignment horizontal="left" vertical="top"/>
      <protection/>
    </xf>
    <xf numFmtId="0" fontId="0" fillId="30" borderId="132" xfId="0" applyNumberFormat="1" applyFont="1" applyFill="1" applyBorder="1" applyAlignment="1" applyProtection="1">
      <alignment horizontal="left" vertical="top"/>
      <protection/>
    </xf>
    <xf numFmtId="0" fontId="0" fillId="30" borderId="18" xfId="0" applyNumberFormat="1" applyFont="1" applyFill="1" applyBorder="1" applyAlignment="1" applyProtection="1">
      <alignment horizontal="left" vertical="top"/>
      <protection/>
    </xf>
    <xf numFmtId="0" fontId="0" fillId="30" borderId="105" xfId="0" applyNumberFormat="1" applyFont="1" applyFill="1" applyBorder="1" applyAlignment="1" applyProtection="1">
      <alignment horizontal="left" vertical="top"/>
      <protection/>
    </xf>
    <xf numFmtId="0" fontId="0" fillId="30" borderId="91" xfId="0" applyNumberFormat="1" applyFont="1" applyFill="1" applyBorder="1" applyAlignment="1" applyProtection="1">
      <alignment horizontal="left" vertical="top"/>
      <protection/>
    </xf>
    <xf numFmtId="0" fontId="0" fillId="30" borderId="13" xfId="0" applyNumberFormat="1" applyFont="1" applyFill="1" applyBorder="1" applyAlignment="1" applyProtection="1">
      <alignment horizontal="left" vertical="top"/>
      <protection/>
    </xf>
    <xf numFmtId="0" fontId="0" fillId="30" borderId="107" xfId="0" applyNumberFormat="1" applyFont="1" applyFill="1" applyBorder="1" applyAlignment="1" applyProtection="1">
      <alignment horizontal="left" vertical="top"/>
      <protection/>
    </xf>
    <xf numFmtId="0" fontId="0" fillId="30" borderId="92" xfId="0" applyNumberFormat="1" applyFont="1" applyFill="1" applyBorder="1" applyAlignment="1" applyProtection="1">
      <alignment horizontal="left" vertical="top"/>
      <protection/>
    </xf>
    <xf numFmtId="0" fontId="0" fillId="30" borderId="15" xfId="0" applyNumberFormat="1" applyFont="1" applyFill="1" applyBorder="1" applyAlignment="1" applyProtection="1">
      <alignment horizontal="left" vertical="top"/>
      <protection/>
    </xf>
    <xf numFmtId="0" fontId="3" fillId="24" borderId="94" xfId="0" applyNumberFormat="1" applyFont="1" applyFill="1" applyBorder="1" applyAlignment="1" applyProtection="1">
      <alignment horizontal="left" wrapText="1"/>
      <protection/>
    </xf>
    <xf numFmtId="0" fontId="3" fillId="24" borderId="10" xfId="0" applyNumberFormat="1" applyFont="1" applyFill="1" applyBorder="1" applyAlignment="1" applyProtection="1">
      <alignment horizontal="left" wrapText="1"/>
      <protection/>
    </xf>
    <xf numFmtId="0" fontId="3" fillId="24" borderId="41" xfId="0" applyNumberFormat="1" applyFont="1" applyFill="1" applyBorder="1" applyAlignment="1" applyProtection="1">
      <alignment horizontal="left" wrapText="1"/>
      <protection/>
    </xf>
    <xf numFmtId="0" fontId="3" fillId="24" borderId="41" xfId="0" applyNumberFormat="1" applyFont="1" applyFill="1" applyBorder="1" applyAlignment="1" applyProtection="1">
      <alignment wrapText="1"/>
      <protection/>
    </xf>
    <xf numFmtId="0" fontId="0" fillId="28" borderId="108" xfId="0" applyNumberFormat="1" applyFont="1" applyFill="1" applyBorder="1" applyAlignment="1" applyProtection="1">
      <alignment horizontal="left" vertical="top"/>
      <protection locked="0"/>
    </xf>
    <xf numFmtId="0" fontId="0" fillId="28" borderId="132" xfId="0" applyNumberFormat="1" applyFont="1" applyFill="1" applyBorder="1" applyAlignment="1" applyProtection="1">
      <alignment horizontal="left" vertical="top"/>
      <protection locked="0"/>
    </xf>
    <xf numFmtId="0" fontId="0" fillId="28" borderId="18" xfId="0" applyNumberFormat="1" applyFont="1" applyFill="1" applyBorder="1" applyAlignment="1" applyProtection="1">
      <alignment horizontal="left" vertical="top"/>
      <protection locked="0"/>
    </xf>
    <xf numFmtId="0" fontId="28" fillId="24" borderId="0" xfId="0" applyFont="1" applyFill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0" fontId="3" fillId="30" borderId="64" xfId="0" applyFont="1" applyFill="1" applyBorder="1" applyAlignment="1" applyProtection="1">
      <alignment horizontal="center" vertical="center" wrapText="1"/>
      <protection/>
    </xf>
    <xf numFmtId="0" fontId="3" fillId="30" borderId="65" xfId="0" applyFont="1" applyFill="1" applyBorder="1" applyAlignment="1" applyProtection="1">
      <alignment horizontal="center" vertical="center" wrapText="1"/>
      <protection/>
    </xf>
    <xf numFmtId="0" fontId="3" fillId="30" borderId="66" xfId="0" applyFont="1" applyFill="1" applyBorder="1" applyAlignment="1" applyProtection="1">
      <alignment horizontal="center" vertical="center" wrapText="1"/>
      <protection/>
    </xf>
    <xf numFmtId="0" fontId="3" fillId="24" borderId="88" xfId="0" applyNumberFormat="1" applyFont="1" applyFill="1" applyBorder="1" applyAlignment="1" applyProtection="1">
      <alignment horizontal="left" wrapText="1"/>
      <protection/>
    </xf>
    <xf numFmtId="0" fontId="3" fillId="24" borderId="0" xfId="0" applyNumberFormat="1" applyFont="1" applyFill="1" applyBorder="1" applyAlignment="1" applyProtection="1">
      <alignment horizontal="left" wrapText="1"/>
      <protection/>
    </xf>
    <xf numFmtId="0" fontId="0" fillId="24" borderId="113" xfId="0" applyNumberFormat="1" applyFont="1" applyFill="1" applyBorder="1" applyAlignment="1" applyProtection="1">
      <alignment horizontal="left" vertical="center"/>
      <protection/>
    </xf>
    <xf numFmtId="0" fontId="0" fillId="24" borderId="109" xfId="0" applyNumberFormat="1" applyFont="1" applyFill="1" applyBorder="1" applyAlignment="1" applyProtection="1">
      <alignment horizontal="left" vertical="center"/>
      <protection/>
    </xf>
    <xf numFmtId="0" fontId="0" fillId="24" borderId="131" xfId="0" applyNumberFormat="1" applyFont="1" applyFill="1" applyBorder="1" applyAlignment="1" applyProtection="1">
      <alignment horizontal="left" vertical="center"/>
      <protection/>
    </xf>
    <xf numFmtId="0" fontId="0" fillId="30" borderId="133" xfId="0" applyNumberFormat="1" applyFont="1" applyFill="1" applyBorder="1" applyAlignment="1" applyProtection="1">
      <alignment horizontal="left" vertical="center"/>
      <protection/>
    </xf>
    <xf numFmtId="0" fontId="0" fillId="30" borderId="82" xfId="0" applyNumberFormat="1" applyFont="1" applyFill="1" applyBorder="1" applyAlignment="1" applyProtection="1">
      <alignment horizontal="left" vertical="center"/>
      <protection/>
    </xf>
    <xf numFmtId="0" fontId="0" fillId="30" borderId="84" xfId="0" applyNumberFormat="1" applyFont="1" applyFill="1" applyBorder="1" applyAlignment="1" applyProtection="1">
      <alignment horizontal="left" vertical="center"/>
      <protection/>
    </xf>
    <xf numFmtId="0" fontId="0" fillId="30" borderId="106" xfId="0" applyNumberFormat="1" applyFont="1" applyFill="1" applyBorder="1" applyAlignment="1" applyProtection="1">
      <alignment horizontal="left" vertical="center"/>
      <protection/>
    </xf>
    <xf numFmtId="0" fontId="0" fillId="30" borderId="93" xfId="0" applyNumberFormat="1" applyFont="1" applyFill="1" applyBorder="1" applyAlignment="1" applyProtection="1">
      <alignment horizontal="left" vertical="center"/>
      <protection/>
    </xf>
    <xf numFmtId="0" fontId="0" fillId="30" borderId="134" xfId="0" applyNumberFormat="1" applyFont="1" applyFill="1" applyBorder="1" applyAlignment="1" applyProtection="1">
      <alignment horizontal="left" vertical="center"/>
      <protection/>
    </xf>
    <xf numFmtId="0" fontId="28" fillId="24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1" borderId="106" xfId="0" applyNumberFormat="1" applyFont="1" applyFill="1" applyBorder="1" applyAlignment="1" applyProtection="1">
      <alignment horizontal="left" vertical="center" wrapText="1"/>
      <protection/>
    </xf>
    <xf numFmtId="0" fontId="0" fillId="31" borderId="93" xfId="0" applyNumberFormat="1" applyFont="1" applyFill="1" applyBorder="1" applyAlignment="1" applyProtection="1">
      <alignment horizontal="left" vertical="center" wrapText="1"/>
      <protection/>
    </xf>
    <xf numFmtId="0" fontId="0" fillId="31" borderId="134" xfId="0" applyNumberFormat="1" applyFont="1" applyFill="1" applyBorder="1" applyAlignment="1" applyProtection="1">
      <alignment horizontal="left" vertical="center" wrapText="1"/>
      <protection/>
    </xf>
    <xf numFmtId="0" fontId="0" fillId="31" borderId="135" xfId="0" applyNumberFormat="1" applyFont="1" applyFill="1" applyBorder="1" applyAlignment="1" applyProtection="1">
      <alignment horizontal="left" vertical="center"/>
      <protection/>
    </xf>
    <xf numFmtId="0" fontId="0" fillId="31" borderId="136" xfId="0" applyNumberFormat="1" applyFont="1" applyFill="1" applyBorder="1" applyAlignment="1" applyProtection="1">
      <alignment horizontal="left" vertical="center"/>
      <protection/>
    </xf>
    <xf numFmtId="0" fontId="0" fillId="31" borderId="137" xfId="0" applyNumberFormat="1" applyFont="1" applyFill="1" applyBorder="1" applyAlignment="1" applyProtection="1">
      <alignment horizontal="left" vertical="center"/>
      <protection/>
    </xf>
    <xf numFmtId="0" fontId="0" fillId="31" borderId="108" xfId="0" applyNumberFormat="1" applyFont="1" applyFill="1" applyBorder="1" applyAlignment="1" applyProtection="1">
      <alignment horizontal="left" vertical="center" wrapText="1"/>
      <protection/>
    </xf>
    <xf numFmtId="0" fontId="0" fillId="31" borderId="132" xfId="0" applyNumberFormat="1" applyFont="1" applyFill="1" applyBorder="1" applyAlignment="1" applyProtection="1">
      <alignment horizontal="left" vertical="center" wrapText="1"/>
      <protection/>
    </xf>
    <xf numFmtId="0" fontId="0" fillId="31" borderId="138" xfId="0" applyNumberFormat="1" applyFont="1" applyFill="1" applyBorder="1" applyAlignment="1" applyProtection="1">
      <alignment horizontal="left" vertical="center" wrapText="1"/>
      <protection/>
    </xf>
    <xf numFmtId="0" fontId="0" fillId="30" borderId="107" xfId="0" applyNumberFormat="1" applyFont="1" applyFill="1" applyBorder="1" applyAlignment="1" applyProtection="1">
      <alignment horizontal="left" vertical="center"/>
      <protection/>
    </xf>
    <xf numFmtId="0" fontId="0" fillId="30" borderId="92" xfId="0" applyNumberFormat="1" applyFont="1" applyFill="1" applyBorder="1" applyAlignment="1" applyProtection="1">
      <alignment horizontal="left" vertical="center"/>
      <protection/>
    </xf>
    <xf numFmtId="0" fontId="0" fillId="30" borderId="139" xfId="0" applyNumberFormat="1" applyFont="1" applyFill="1" applyBorder="1" applyAlignment="1" applyProtection="1">
      <alignment horizontal="left" vertical="center"/>
      <protection/>
    </xf>
    <xf numFmtId="0" fontId="86" fillId="24" borderId="0" xfId="0" applyFont="1" applyFill="1" applyAlignment="1" applyProtection="1">
      <alignment horizontal="left" vertical="top" wrapText="1"/>
      <protection/>
    </xf>
    <xf numFmtId="0" fontId="87" fillId="24" borderId="0" xfId="0" applyFont="1" applyFill="1" applyAlignment="1" applyProtection="1">
      <alignment horizontal="left" vertical="top" wrapText="1"/>
      <protection/>
    </xf>
    <xf numFmtId="0" fontId="0" fillId="4" borderId="86" xfId="0" applyNumberFormat="1" applyFont="1" applyFill="1" applyBorder="1" applyAlignment="1" applyProtection="1">
      <alignment vertical="top" wrapText="1"/>
      <protection/>
    </xf>
    <xf numFmtId="0" fontId="0" fillId="0" borderId="32" xfId="0" applyNumberFormat="1" applyBorder="1" applyAlignment="1" applyProtection="1">
      <alignment vertical="top" wrapText="1"/>
      <protection/>
    </xf>
    <xf numFmtId="0" fontId="0" fillId="0" borderId="30" xfId="0" applyNumberFormat="1" applyBorder="1" applyAlignment="1" applyProtection="1">
      <alignment vertical="top" wrapText="1"/>
      <protection/>
    </xf>
    <xf numFmtId="0" fontId="0" fillId="4" borderId="86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Border="1" applyAlignment="1" applyProtection="1">
      <alignment horizontal="left" vertical="top" wrapText="1"/>
      <protection/>
    </xf>
    <xf numFmtId="0" fontId="0" fillId="0" borderId="30" xfId="0" applyNumberFormat="1" applyBorder="1" applyAlignment="1" applyProtection="1">
      <alignment horizontal="left" vertical="top" wrapText="1"/>
      <protection/>
    </xf>
    <xf numFmtId="0" fontId="0" fillId="4" borderId="32" xfId="0" applyNumberFormat="1" applyFont="1" applyFill="1" applyBorder="1" applyAlignment="1" applyProtection="1">
      <alignment vertical="top" wrapText="1"/>
      <protection/>
    </xf>
    <xf numFmtId="0" fontId="0" fillId="4" borderId="30" xfId="0" applyNumberFormat="1" applyFont="1" applyFill="1" applyBorder="1" applyAlignment="1" applyProtection="1">
      <alignment vertical="top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24" borderId="94" xfId="0" applyNumberFormat="1" applyFont="1" applyFill="1" applyBorder="1" applyAlignment="1" applyProtection="1">
      <alignment vertical="top" wrapText="1"/>
      <protection/>
    </xf>
    <xf numFmtId="0" fontId="0" fillId="24" borderId="10" xfId="0" applyNumberFormat="1" applyFont="1" applyFill="1" applyBorder="1" applyAlignment="1" applyProtection="1">
      <alignment vertical="top" wrapText="1"/>
      <protection/>
    </xf>
    <xf numFmtId="0" fontId="0" fillId="24" borderId="41" xfId="0" applyNumberFormat="1" applyFont="1" applyFill="1" applyBorder="1" applyAlignment="1" applyProtection="1">
      <alignment vertical="top" wrapText="1"/>
      <protection/>
    </xf>
    <xf numFmtId="0" fontId="0" fillId="4" borderId="86" xfId="0" applyFont="1" applyFill="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2" fillId="26" borderId="0" xfId="0" applyFont="1" applyFill="1" applyBorder="1" applyAlignment="1" applyProtection="1">
      <alignment vertical="center" wrapText="1"/>
      <protection/>
    </xf>
    <xf numFmtId="0" fontId="0" fillId="30" borderId="86" xfId="0" applyNumberFormat="1" applyFont="1" applyFill="1" applyBorder="1" applyAlignment="1" applyProtection="1">
      <alignment horizontal="center" vertical="top"/>
      <protection/>
    </xf>
    <xf numFmtId="0" fontId="0" fillId="30" borderId="30" xfId="0" applyNumberFormat="1" applyFont="1" applyFill="1" applyBorder="1" applyAlignment="1" applyProtection="1">
      <alignment horizontal="center" vertical="top"/>
      <protection/>
    </xf>
    <xf numFmtId="0" fontId="75" fillId="31" borderId="94" xfId="0" applyNumberFormat="1" applyFont="1" applyFill="1" applyBorder="1" applyAlignment="1" applyProtection="1">
      <alignment wrapText="1"/>
      <protection/>
    </xf>
    <xf numFmtId="0" fontId="75" fillId="31" borderId="10" xfId="0" applyNumberFormat="1" applyFont="1" applyFill="1" applyBorder="1" applyAlignment="1" applyProtection="1">
      <alignment wrapText="1"/>
      <protection/>
    </xf>
    <xf numFmtId="0" fontId="75" fillId="31" borderId="41" xfId="0" applyNumberFormat="1" applyFont="1" applyFill="1" applyBorder="1" applyAlignment="1" applyProtection="1">
      <alignment wrapText="1"/>
      <protection/>
    </xf>
    <xf numFmtId="0" fontId="74" fillId="24" borderId="113" xfId="0" applyNumberFormat="1" applyFont="1" applyFill="1" applyBorder="1" applyAlignment="1" applyProtection="1">
      <alignment horizontal="left" vertical="top"/>
      <protection/>
    </xf>
    <xf numFmtId="0" fontId="74" fillId="24" borderId="109" xfId="0" applyNumberFormat="1" applyFont="1" applyFill="1" applyBorder="1" applyAlignment="1" applyProtection="1">
      <alignment horizontal="left" vertical="top"/>
      <protection/>
    </xf>
    <xf numFmtId="0" fontId="74" fillId="24" borderId="110" xfId="0" applyNumberFormat="1" applyFont="1" applyFill="1" applyBorder="1" applyAlignment="1" applyProtection="1">
      <alignment horizontal="left" vertical="top"/>
      <protection/>
    </xf>
    <xf numFmtId="0" fontId="74" fillId="30" borderId="133" xfId="0" applyNumberFormat="1" applyFont="1" applyFill="1" applyBorder="1" applyAlignment="1" applyProtection="1">
      <alignment horizontal="left" vertical="top"/>
      <protection/>
    </xf>
    <xf numFmtId="0" fontId="74" fillId="30" borderId="82" xfId="0" applyNumberFormat="1" applyFont="1" applyFill="1" applyBorder="1" applyAlignment="1" applyProtection="1">
      <alignment horizontal="left" vertical="top"/>
      <protection/>
    </xf>
    <xf numFmtId="0" fontId="74" fillId="30" borderId="83" xfId="0" applyNumberFormat="1" applyFont="1" applyFill="1" applyBorder="1" applyAlignment="1" applyProtection="1">
      <alignment horizontal="left" vertical="top"/>
      <protection/>
    </xf>
    <xf numFmtId="0" fontId="74" fillId="30" borderId="106" xfId="0" applyNumberFormat="1" applyFont="1" applyFill="1" applyBorder="1" applyAlignment="1" applyProtection="1">
      <alignment horizontal="left" vertical="top"/>
      <protection/>
    </xf>
    <xf numFmtId="0" fontId="74" fillId="30" borderId="93" xfId="0" applyNumberFormat="1" applyFont="1" applyFill="1" applyBorder="1" applyAlignment="1" applyProtection="1">
      <alignment horizontal="left" vertical="top"/>
      <protection/>
    </xf>
    <xf numFmtId="0" fontId="74" fillId="30" borderId="14" xfId="0" applyNumberFormat="1" applyFont="1" applyFill="1" applyBorder="1" applyAlignment="1" applyProtection="1">
      <alignment horizontal="left" vertical="top"/>
      <protection/>
    </xf>
    <xf numFmtId="0" fontId="74" fillId="30" borderId="107" xfId="0" applyNumberFormat="1" applyFont="1" applyFill="1" applyBorder="1" applyAlignment="1" applyProtection="1">
      <alignment horizontal="left" vertical="top"/>
      <protection/>
    </xf>
    <xf numFmtId="0" fontId="74" fillId="30" borderId="92" xfId="0" applyNumberFormat="1" applyFont="1" applyFill="1" applyBorder="1" applyAlignment="1" applyProtection="1">
      <alignment horizontal="left" vertical="top"/>
      <protection/>
    </xf>
    <xf numFmtId="0" fontId="74" fillId="30" borderId="15" xfId="0" applyNumberFormat="1" applyFont="1" applyFill="1" applyBorder="1" applyAlignment="1" applyProtection="1">
      <alignment horizontal="left" vertical="top"/>
      <protection/>
    </xf>
    <xf numFmtId="0" fontId="74" fillId="24" borderId="108" xfId="0" applyNumberFormat="1" applyFont="1" applyFill="1" applyBorder="1" applyAlignment="1" applyProtection="1">
      <alignment horizontal="left" vertical="top" wrapText="1"/>
      <protection/>
    </xf>
    <xf numFmtId="0" fontId="74" fillId="24" borderId="132" xfId="0" applyNumberFormat="1" applyFont="1" applyFill="1" applyBorder="1" applyAlignment="1" applyProtection="1">
      <alignment horizontal="left" vertical="top" wrapText="1"/>
      <protection/>
    </xf>
    <xf numFmtId="0" fontId="74" fillId="24" borderId="18" xfId="0" applyNumberFormat="1" applyFont="1" applyFill="1" applyBorder="1" applyAlignment="1" applyProtection="1">
      <alignment horizontal="left" vertical="top" wrapText="1"/>
      <protection/>
    </xf>
    <xf numFmtId="0" fontId="74" fillId="24" borderId="106" xfId="0" applyNumberFormat="1" applyFont="1" applyFill="1" applyBorder="1" applyAlignment="1" applyProtection="1">
      <alignment horizontal="left" vertical="top" wrapText="1"/>
      <protection/>
    </xf>
    <xf numFmtId="0" fontId="74" fillId="24" borderId="93" xfId="0" applyNumberFormat="1" applyFont="1" applyFill="1" applyBorder="1" applyAlignment="1" applyProtection="1">
      <alignment horizontal="left" vertical="top" wrapText="1"/>
      <protection/>
    </xf>
    <xf numFmtId="0" fontId="74" fillId="24" borderId="14" xfId="0" applyNumberFormat="1" applyFont="1" applyFill="1" applyBorder="1" applyAlignment="1" applyProtection="1">
      <alignment horizontal="left" vertical="top" wrapText="1"/>
      <protection/>
    </xf>
    <xf numFmtId="0" fontId="74" fillId="24" borderId="107" xfId="0" applyNumberFormat="1" applyFont="1" applyFill="1" applyBorder="1" applyAlignment="1" applyProtection="1">
      <alignment horizontal="left" vertical="top" wrapText="1"/>
      <protection/>
    </xf>
    <xf numFmtId="0" fontId="74" fillId="24" borderId="92" xfId="0" applyNumberFormat="1" applyFont="1" applyFill="1" applyBorder="1" applyAlignment="1" applyProtection="1">
      <alignment horizontal="left" vertical="top" wrapText="1"/>
      <protection/>
    </xf>
    <xf numFmtId="0" fontId="74" fillId="24" borderId="15" xfId="0" applyNumberFormat="1" applyFont="1" applyFill="1" applyBorder="1" applyAlignment="1" applyProtection="1">
      <alignment horizontal="left" vertical="top" wrapText="1"/>
      <protection/>
    </xf>
    <xf numFmtId="0" fontId="74" fillId="24" borderId="129" xfId="0" applyNumberFormat="1" applyFont="1" applyFill="1" applyBorder="1" applyAlignment="1" applyProtection="1">
      <alignment horizontal="left" vertical="top" wrapText="1"/>
      <protection/>
    </xf>
    <xf numFmtId="0" fontId="74" fillId="0" borderId="22" xfId="0" applyNumberFormat="1" applyFont="1" applyBorder="1" applyAlignment="1" applyProtection="1">
      <alignment horizontal="left" vertical="top" wrapText="1"/>
      <protection/>
    </xf>
    <xf numFmtId="0" fontId="74" fillId="0" borderId="27" xfId="0" applyNumberFormat="1" applyFont="1" applyBorder="1" applyAlignment="1" applyProtection="1">
      <alignment horizontal="left" vertical="top" wrapText="1"/>
      <protection/>
    </xf>
    <xf numFmtId="0" fontId="73" fillId="24" borderId="0" xfId="0" applyFont="1" applyFill="1" applyAlignment="1" applyProtection="1">
      <alignment vertical="center" wrapText="1"/>
      <protection/>
    </xf>
    <xf numFmtId="0" fontId="74" fillId="0" borderId="0" xfId="0" applyFont="1" applyAlignment="1" applyProtection="1">
      <alignment vertical="center" wrapText="1"/>
      <protection/>
    </xf>
    <xf numFmtId="0" fontId="75" fillId="24" borderId="94" xfId="0" applyNumberFormat="1" applyFont="1" applyFill="1" applyBorder="1" applyAlignment="1" applyProtection="1">
      <alignment horizontal="left" wrapText="1"/>
      <protection/>
    </xf>
    <xf numFmtId="0" fontId="75" fillId="24" borderId="10" xfId="0" applyNumberFormat="1" applyFont="1" applyFill="1" applyBorder="1" applyAlignment="1" applyProtection="1">
      <alignment horizontal="left" wrapText="1"/>
      <protection/>
    </xf>
    <xf numFmtId="0" fontId="75" fillId="24" borderId="41" xfId="0" applyNumberFormat="1" applyFont="1" applyFill="1" applyBorder="1" applyAlignment="1" applyProtection="1">
      <alignment horizontal="left" wrapText="1"/>
      <protection/>
    </xf>
    <xf numFmtId="0" fontId="74" fillId="30" borderId="105" xfId="0" applyNumberFormat="1" applyFont="1" applyFill="1" applyBorder="1" applyAlignment="1" applyProtection="1">
      <alignment horizontal="left" vertical="top"/>
      <protection/>
    </xf>
    <xf numFmtId="0" fontId="74" fillId="30" borderId="91" xfId="0" applyNumberFormat="1" applyFont="1" applyFill="1" applyBorder="1" applyAlignment="1" applyProtection="1">
      <alignment horizontal="left" vertical="top"/>
      <protection/>
    </xf>
    <xf numFmtId="0" fontId="74" fillId="30" borderId="13" xfId="0" applyNumberFormat="1" applyFont="1" applyFill="1" applyBorder="1" applyAlignment="1" applyProtection="1">
      <alignment horizontal="left" vertical="top"/>
      <protection/>
    </xf>
    <xf numFmtId="0" fontId="88" fillId="30" borderId="0" xfId="0" applyFont="1" applyFill="1" applyAlignment="1" applyProtection="1">
      <alignment horizontal="left" vertical="top" wrapText="1"/>
      <protection/>
    </xf>
    <xf numFmtId="0" fontId="73" fillId="24" borderId="0" xfId="0" applyFont="1" applyFill="1" applyAlignment="1" applyProtection="1">
      <alignment horizontal="left" vertical="center" wrapText="1"/>
      <protection/>
    </xf>
    <xf numFmtId="0" fontId="73" fillId="24" borderId="19" xfId="0" applyFont="1" applyFill="1" applyBorder="1" applyAlignment="1" applyProtection="1">
      <alignment horizontal="left" vertical="center" wrapText="1"/>
      <protection/>
    </xf>
    <xf numFmtId="0" fontId="75" fillId="30" borderId="64" xfId="0" applyFont="1" applyFill="1" applyBorder="1" applyAlignment="1" applyProtection="1">
      <alignment horizontal="center" vertical="center" wrapText="1"/>
      <protection/>
    </xf>
    <xf numFmtId="0" fontId="75" fillId="30" borderId="65" xfId="0" applyFont="1" applyFill="1" applyBorder="1" applyAlignment="1" applyProtection="1">
      <alignment horizontal="center" vertical="center" wrapText="1"/>
      <protection/>
    </xf>
    <xf numFmtId="0" fontId="75" fillId="30" borderId="66" xfId="0" applyFont="1" applyFill="1" applyBorder="1" applyAlignment="1" applyProtection="1">
      <alignment horizontal="center" vertical="center" wrapText="1"/>
      <protection/>
    </xf>
    <xf numFmtId="0" fontId="30" fillId="21" borderId="0" xfId="65" applyFont="1" applyFill="1" applyAlignment="1" applyProtection="1">
      <alignment vertical="top" wrapText="1"/>
      <protection/>
    </xf>
    <xf numFmtId="0" fontId="30" fillId="21" borderId="0" xfId="65" applyNumberFormat="1" applyFont="1" applyFill="1" applyBorder="1" applyAlignment="1" applyProtection="1">
      <alignment vertical="top" wrapText="1"/>
      <protection/>
    </xf>
    <xf numFmtId="0" fontId="28" fillId="24" borderId="10" xfId="0" applyFont="1" applyFill="1" applyBorder="1" applyAlignment="1" applyProtection="1">
      <alignment horizontal="left" vertical="top" wrapText="1"/>
      <protection/>
    </xf>
    <xf numFmtId="0" fontId="0" fillId="23" borderId="93" xfId="0" applyFont="1" applyFill="1" applyBorder="1" applyAlignment="1" applyProtection="1">
      <alignment horizontal="left" vertical="top"/>
      <protection locked="0"/>
    </xf>
    <xf numFmtId="0" fontId="0" fillId="23" borderId="14" xfId="0" applyFill="1" applyBorder="1" applyAlignment="1" applyProtection="1">
      <alignment horizontal="left" vertical="top"/>
      <protection locked="0"/>
    </xf>
    <xf numFmtId="0" fontId="0" fillId="23" borderId="106" xfId="0" applyFont="1" applyFill="1" applyBorder="1" applyAlignment="1" applyProtection="1">
      <alignment horizontal="left" vertical="top"/>
      <protection locked="0"/>
    </xf>
    <xf numFmtId="0" fontId="0" fillId="23" borderId="93" xfId="0" applyFill="1" applyBorder="1" applyAlignment="1" applyProtection="1">
      <alignment horizontal="left" vertical="top"/>
      <protection locked="0"/>
    </xf>
    <xf numFmtId="0" fontId="0" fillId="23" borderId="92" xfId="0" applyFont="1" applyFill="1" applyBorder="1" applyAlignment="1" applyProtection="1">
      <alignment horizontal="left" vertical="top"/>
      <protection locked="0"/>
    </xf>
    <xf numFmtId="0" fontId="0" fillId="23" borderId="15" xfId="0" applyFill="1" applyBorder="1" applyAlignment="1" applyProtection="1">
      <alignment horizontal="left" vertical="top"/>
      <protection locked="0"/>
    </xf>
    <xf numFmtId="0" fontId="0" fillId="23" borderId="107" xfId="0" applyFont="1" applyFill="1" applyBorder="1" applyAlignment="1" applyProtection="1">
      <alignment horizontal="left" vertical="top"/>
      <protection locked="0"/>
    </xf>
    <xf numFmtId="0" fontId="0" fillId="23" borderId="92" xfId="0" applyFill="1" applyBorder="1" applyAlignment="1" applyProtection="1">
      <alignment horizontal="left" vertical="top"/>
      <protection locked="0"/>
    </xf>
    <xf numFmtId="0" fontId="0" fillId="23" borderId="91" xfId="0" applyFont="1" applyFill="1" applyBorder="1" applyAlignment="1" applyProtection="1">
      <alignment horizontal="left" vertical="top"/>
      <protection locked="0"/>
    </xf>
    <xf numFmtId="0" fontId="0" fillId="23" borderId="13" xfId="0" applyFill="1" applyBorder="1" applyAlignment="1" applyProtection="1">
      <alignment horizontal="left" vertical="top"/>
      <protection locked="0"/>
    </xf>
    <xf numFmtId="0" fontId="0" fillId="23" borderId="105" xfId="0" applyFont="1" applyFill="1" applyBorder="1" applyAlignment="1" applyProtection="1">
      <alignment horizontal="left" vertical="top"/>
      <protection locked="0"/>
    </xf>
    <xf numFmtId="0" fontId="0" fillId="23" borderId="91" xfId="0" applyFill="1" applyBorder="1" applyAlignment="1" applyProtection="1">
      <alignment horizontal="left" vertical="top"/>
      <protection locked="0"/>
    </xf>
    <xf numFmtId="0" fontId="43" fillId="0" borderId="140" xfId="0" applyFont="1" applyBorder="1" applyAlignment="1" applyProtection="1">
      <alignment horizontal="center" vertical="top" wrapText="1"/>
      <protection/>
    </xf>
    <xf numFmtId="0" fontId="43" fillId="0" borderId="141" xfId="0" applyFont="1" applyBorder="1" applyAlignment="1" applyProtection="1">
      <alignment horizontal="center" vertical="top" wrapText="1"/>
      <protection/>
    </xf>
    <xf numFmtId="0" fontId="5" fillId="20" borderId="0" xfId="65" applyFill="1" applyAlignment="1" applyProtection="1">
      <alignment horizontal="left" vertical="top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ad" xfId="46"/>
    <cellStyle name="Berechnung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ingabe" xfId="54"/>
    <cellStyle name="Ergebnis" xfId="55"/>
    <cellStyle name="Erklärender Text" xfId="56"/>
    <cellStyle name="Explanatory Text" xfId="57"/>
    <cellStyle name="Followed Hyperlink" xfId="58"/>
    <cellStyle name="Good" xfId="59"/>
    <cellStyle name="Gut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iz" xfId="70"/>
    <cellStyle name="Output" xfId="71"/>
    <cellStyle name="Percent" xfId="72"/>
    <cellStyle name="Schlecht" xfId="73"/>
    <cellStyle name="Standard_Outline NIMs template 10-09-30" xfId="74"/>
    <cellStyle name="Title" xfId="75"/>
    <cellStyle name="Total" xfId="76"/>
    <cellStyle name="Überschrift" xfId="77"/>
    <cellStyle name="Überschrift 1" xfId="78"/>
    <cellStyle name="Überschrift 2" xfId="79"/>
    <cellStyle name="Überschrift 3" xfId="80"/>
    <cellStyle name="Überschrift 4" xfId="81"/>
    <cellStyle name="Verknüpfte Zelle" xfId="82"/>
    <cellStyle name="Warnender Text" xfId="83"/>
    <cellStyle name="Warning Text" xfId="84"/>
    <cellStyle name="Zelle überprüfen" xfId="85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 patternType="lightUp">
          <bgColor indexed="65"/>
        </patternFill>
      </fill>
    </dxf>
    <dxf>
      <fill>
        <patternFill>
          <bgColor rgb="FFFFFFCC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lightUp">
          <fgColor indexed="64"/>
          <bgColor indexed="9"/>
        </patternFill>
      </fill>
    </dxf>
    <dxf>
      <fill>
        <patternFill>
          <bgColor indexed="26"/>
        </patternFill>
      </fill>
    </dxf>
    <dxf>
      <fill>
        <patternFill patternType="lightUp">
          <fgColor indexed="64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JUMP_K_I" TargetMode="External" /><Relationship Id="rId2" Type="http://schemas.openxmlformats.org/officeDocument/2006/relationships/hyperlink" Target="http://eur-lex.europa.eu/LexUriServ/LexUriServ.do?uri=CONSLEG:2003L0087:20090625:EN:PDF" TargetMode="External" /><Relationship Id="rId3" Type="http://schemas.openxmlformats.org/officeDocument/2006/relationships/hyperlink" Target="http://eur-lex.europa.eu/en/index.htm" TargetMode="External" /><Relationship Id="rId4" Type="http://schemas.openxmlformats.org/officeDocument/2006/relationships/hyperlink" Target="http://ec.europa.eu/clima/policies/ets/index_en.htm" TargetMode="External" /><Relationship Id="rId5" Type="http://schemas.openxmlformats.org/officeDocument/2006/relationships/hyperlink" Target="JUMP_A_II1" TargetMode="External" /><Relationship Id="rId6" Type="http://schemas.openxmlformats.org/officeDocument/2006/relationships/hyperlink" Target="http://ec.europa.eu/eurostat/ramon/nomenclatures/index.cfm?TargetUrl=LST_CLS_DLD&amp;StrNom=NACE_1_1&amp;StrLanguageCode=EN&amp;StrLayoutCode=HIERARCHIC" TargetMode="External" /><Relationship Id="rId7" Type="http://schemas.openxmlformats.org/officeDocument/2006/relationships/hyperlink" Target="http://ec.europa.eu/eurostat/ramon/nomenclatures/index.cfm?TargetUrl=LST_CLS_DLD&amp;StrNom=NACE_REV2&amp;StrLanguageCode=EN&amp;StrLayoutCode=HIERARCHIC" TargetMode="External" /><Relationship Id="rId8" Type="http://schemas.openxmlformats.org/officeDocument/2006/relationships/hyperlink" Target="JUMP_C_III" TargetMode="External" /><Relationship Id="rId9" Type="http://schemas.openxmlformats.org/officeDocument/2006/relationships/hyperlink" Target="JUMP_K_I" TargetMode="External" /><Relationship Id="rId10" Type="http://schemas.openxmlformats.org/officeDocument/2006/relationships/hyperlink" Target="http://eur-lex.europa.eu/LexUriServ/LexUriServ.do?uri=CONSLEG:2011D0278:20111117:EN:PDF" TargetMode="External" /><Relationship Id="rId11" Type="http://schemas.openxmlformats.org/officeDocument/2006/relationships/hyperlink" Target="http://ec.europa.eu/clima/policies/ets/benchmarking/documentation_en.htm" TargetMode="Externa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en/index.htm" TargetMode="External" /><Relationship Id="rId2" Type="http://schemas.openxmlformats.org/officeDocument/2006/relationships/hyperlink" Target="http://ec.europa.eu/clima/policies/ets/index_en.htm" TargetMode="External" /><Relationship Id="rId3" Type="http://schemas.openxmlformats.org/officeDocument/2006/relationships/hyperlink" Target="http://ec.europa.eu/clima/documentation/ets/docs/decision_benchmarking_15_dec_en.pdf." TargetMode="External" /><Relationship Id="rId4" Type="http://schemas.openxmlformats.org/officeDocument/2006/relationships/hyperlink" Target="http://ec.europa.eu/clima/documentation/ets/docs/decision_benchmarking_15_dec_en.pdf." TargetMode="External" /><Relationship Id="rId5" Type="http://schemas.openxmlformats.org/officeDocument/2006/relationships/hyperlink" Target="http://eur-lex.europa.eu/LexUriServ/LexUriServ.do?uri=CONSLEG:2003L0087:20090625:EN:PDF" TargetMode="External" /><Relationship Id="rId6" Type="http://schemas.openxmlformats.org/officeDocument/2006/relationships/hyperlink" Target="http://eur-lex.europa.eu/LexUriServ/LexUriServ.do?uri=CONSLEG:2011D0278:20111117:EN:PDF" TargetMode="External" /><Relationship Id="rId7" Type="http://schemas.openxmlformats.org/officeDocument/2006/relationships/hyperlink" Target="http://ec.europa.eu/clima/policies/ets/benchmarking/documentation_en.htm" TargetMode="External" /><Relationship Id="rId8" Type="http://schemas.openxmlformats.org/officeDocument/2006/relationships/hyperlink" Target="http://ec.europa.eu/clima/policies/ets/benchmarking/documentation_en.htm" TargetMode="External" /><Relationship Id="rId9" Type="http://schemas.openxmlformats.org/officeDocument/2006/relationships/hyperlink" Target="http://www.moew.government.bg/?show=top&amp;cid=5" TargetMode="External" /><Relationship Id="rId10" Type="http://schemas.openxmlformats.org/officeDocument/2006/relationships/hyperlink" Target="http://www.moew.government.bg/?show=top&amp;cid=5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ramon/nomenclatures/index.cfm?TargetUrl=LST_CLS_DLD&amp;StrNom=NACE_REV2&amp;StrLanguageCode=EN&amp;StrLayoutCode=HIERARCHIC" TargetMode="External" /><Relationship Id="rId2" Type="http://schemas.openxmlformats.org/officeDocument/2006/relationships/hyperlink" Target="http://ec.europa.eu/eurostat/ramon/nomenclatures/index.cfm?TargetUrl=LST_CLS_DLD&amp;StrNom=NACE_1_1&amp;StrLanguageCode=EN&amp;StrLayoutCode=HIERARCHIC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1">
      <pane ySplit="4" topLeftCell="A11" activePane="bottomLeft" state="frozen"/>
      <selection pane="topLeft" activeCell="F43" sqref="F43"/>
      <selection pane="bottomLeft" activeCell="D40" sqref="D40:K40"/>
    </sheetView>
  </sheetViews>
  <sheetFormatPr defaultColWidth="11.421875" defaultRowHeight="12.75"/>
  <cols>
    <col min="1" max="1" width="3.00390625" style="86" hidden="1" customWidth="1"/>
    <col min="2" max="4" width="4.7109375" style="86" customWidth="1"/>
    <col min="5" max="13" width="12.7109375" style="86" customWidth="1"/>
    <col min="14" max="15" width="11.421875" style="86" customWidth="1"/>
    <col min="16" max="25" width="9.140625" style="464" hidden="1" customWidth="1"/>
    <col min="26" max="16384" width="11.421875" style="86" customWidth="1"/>
  </cols>
  <sheetData>
    <row r="1" spans="1:25" s="4" customFormat="1" ht="13.5" hidden="1" thickBot="1">
      <c r="A1" s="284" t="s">
        <v>474</v>
      </c>
      <c r="P1" s="284" t="s">
        <v>474</v>
      </c>
      <c r="Q1" s="299" t="s">
        <v>474</v>
      </c>
      <c r="R1" s="299" t="s">
        <v>474</v>
      </c>
      <c r="S1" s="299" t="s">
        <v>474</v>
      </c>
      <c r="T1" s="299" t="s">
        <v>474</v>
      </c>
      <c r="U1" s="299" t="s">
        <v>474</v>
      </c>
      <c r="V1" s="299" t="s">
        <v>474</v>
      </c>
      <c r="W1" s="299" t="s">
        <v>474</v>
      </c>
      <c r="X1" s="299" t="s">
        <v>474</v>
      </c>
      <c r="Y1" s="299" t="s">
        <v>474</v>
      </c>
    </row>
    <row r="2" spans="2:25" ht="13.5" customHeight="1" thickBot="1">
      <c r="B2" s="645" t="s">
        <v>83</v>
      </c>
      <c r="C2" s="199" t="str">
        <f>Translations!$B$276</f>
        <v>Навигационно меню:</v>
      </c>
      <c r="D2" s="200"/>
      <c r="E2" s="200"/>
      <c r="F2" s="648"/>
      <c r="G2" s="648"/>
      <c r="H2" s="648"/>
      <c r="I2" s="648"/>
      <c r="J2" s="648" t="str">
        <f>HYPERLINK(V2,Translations!$B$277)</f>
        <v>Следващ работен лист (sheet)</v>
      </c>
      <c r="K2" s="648"/>
      <c r="L2" s="648" t="str">
        <f>HYPERLINK(X2,Translations!$B$278)</f>
        <v>Обобщение</v>
      </c>
      <c r="M2" s="655"/>
      <c r="N2" s="9"/>
      <c r="O2" s="9"/>
      <c r="P2" s="402" t="s">
        <v>539</v>
      </c>
      <c r="Q2" s="402"/>
      <c r="R2" s="650"/>
      <c r="S2" s="651"/>
      <c r="T2" s="652"/>
      <c r="U2" s="651"/>
      <c r="V2" s="652" t="str">
        <f>"#"&amp;ADDRESS(ROW(D6),COLUMN(D6),,,'b_Guidelines &amp; conditions'!O3)</f>
        <v>#'b_Guidelines &amp; conditions'!$D$6</v>
      </c>
      <c r="W2" s="651"/>
      <c r="X2" s="652" t="str">
        <f>"#"&amp;ADDRESS(ROW(D6),COLUMN(D6),,,D_Summary!Q3)</f>
        <v>#D_Summary!$D$6</v>
      </c>
      <c r="Y2" s="653"/>
    </row>
    <row r="3" spans="2:13" ht="12.75">
      <c r="B3" s="646"/>
      <c r="C3" s="635"/>
      <c r="D3" s="636"/>
      <c r="E3" s="637"/>
      <c r="F3" s="656"/>
      <c r="G3" s="657"/>
      <c r="H3" s="657"/>
      <c r="I3" s="657"/>
      <c r="J3" s="657"/>
      <c r="K3" s="657"/>
      <c r="L3" s="657"/>
      <c r="M3" s="657"/>
    </row>
    <row r="4" spans="2:13" ht="13.5" thickBot="1">
      <c r="B4" s="647"/>
      <c r="C4" s="638"/>
      <c r="D4" s="639"/>
      <c r="E4" s="640"/>
      <c r="F4" s="649"/>
      <c r="G4" s="644"/>
      <c r="H4" s="644"/>
      <c r="I4" s="644"/>
      <c r="J4" s="644"/>
      <c r="K4" s="644"/>
      <c r="L4" s="644"/>
      <c r="M4" s="644"/>
    </row>
    <row r="5" spans="3:6" ht="12.75">
      <c r="C5" s="195"/>
      <c r="F5" s="195"/>
    </row>
    <row r="6" spans="3:13" ht="51" customHeight="1">
      <c r="C6" s="642" t="str">
        <f>Translations!$B$547</f>
        <v>Формуляр за заявка за сливане, разделяне и прехвърляне на части от инсталации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</row>
    <row r="7" spans="3:6" ht="12.75">
      <c r="C7" s="195"/>
      <c r="F7" s="195"/>
    </row>
    <row r="8" spans="2:13" ht="29.25" customHeight="1">
      <c r="B8" s="95"/>
      <c r="C8" s="196" t="str">
        <f>Translations!$B$281</f>
        <v>СЪДЪРЖАНИЕ</v>
      </c>
      <c r="D8" s="95"/>
      <c r="E8" s="95"/>
      <c r="F8" s="196"/>
      <c r="G8" s="196"/>
      <c r="H8" s="196"/>
      <c r="I8" s="196"/>
      <c r="J8" s="196"/>
      <c r="K8" s="196"/>
      <c r="L8" s="196"/>
      <c r="M8" s="196"/>
    </row>
    <row r="9" spans="2:20" ht="18.75" customHeight="1">
      <c r="B9" s="222"/>
      <c r="C9" s="2"/>
      <c r="D9" s="629" t="str">
        <f>HYPERLINK(T9,'b_Guidelines &amp; conditions'!C6)</f>
        <v>УКАЗАНИЯ И УСЛОВИЯ</v>
      </c>
      <c r="E9" s="654"/>
      <c r="F9" s="654"/>
      <c r="G9" s="654"/>
      <c r="H9" s="654"/>
      <c r="I9" s="654"/>
      <c r="J9" s="654"/>
      <c r="K9" s="654"/>
      <c r="L9" s="654"/>
      <c r="M9" s="23"/>
      <c r="R9" s="465" t="s">
        <v>540</v>
      </c>
      <c r="S9" s="467"/>
      <c r="T9" s="466" t="str">
        <f>"#"&amp;ADDRESS(ROW(JUMP_TOC_Home),COLUMN(JUMP_TOC_Home),,,'b_Guidelines &amp; conditions'!O3)</f>
        <v>#'b_Guidelines &amp; conditions'!$B$6</v>
      </c>
    </row>
    <row r="10" spans="2:13" ht="15" customHeight="1">
      <c r="B10" s="193" t="s">
        <v>337</v>
      </c>
      <c r="C10" s="193"/>
      <c r="D10" s="627" t="str">
        <f>A_InstallationData!D6</f>
        <v>Лист „InstallationData“ (данни за инсталацията) – ОБЩА ИНФОРМАЦИЯ ОТНОСНО НАСТОЯЩАТА ЗАЯВКА</v>
      </c>
      <c r="E10" s="627"/>
      <c r="F10" s="628"/>
      <c r="G10" s="628"/>
      <c r="H10" s="628"/>
      <c r="I10" s="628"/>
      <c r="J10" s="628"/>
      <c r="K10" s="628"/>
      <c r="L10" s="628"/>
      <c r="M10" s="23"/>
    </row>
    <row r="11" spans="2:20" ht="12.75">
      <c r="B11" s="223"/>
      <c r="C11" s="473" t="s">
        <v>40</v>
      </c>
      <c r="D11" s="629" t="str">
        <f>HYPERLINK(T11,Translations!$B$545)</f>
        <v>Потвърждение на допустимостта</v>
      </c>
      <c r="E11" s="630"/>
      <c r="F11" s="630"/>
      <c r="G11" s="630"/>
      <c r="H11" s="630"/>
      <c r="I11" s="630"/>
      <c r="J11" s="630"/>
      <c r="K11" s="630"/>
      <c r="L11" s="368"/>
      <c r="T11" s="466" t="str">
        <f>"#"&amp;ADDRESS(ROW(A_InstallationData!C8),COLUMN(A_InstallationData!C8),,,A_InstallationData!Q3)</f>
        <v>#A_InstallationData!$C$8</v>
      </c>
    </row>
    <row r="12" spans="2:20" ht="12.75">
      <c r="B12" s="223"/>
      <c r="C12" s="473" t="s">
        <v>70</v>
      </c>
      <c r="D12" s="629" t="str">
        <f>HYPERLINK(T12,Translations!$B$340)</f>
        <v>Идентификация на инсталацията</v>
      </c>
      <c r="E12" s="630"/>
      <c r="F12" s="630"/>
      <c r="G12" s="630"/>
      <c r="H12" s="630"/>
      <c r="I12" s="630"/>
      <c r="J12" s="630"/>
      <c r="K12" s="630"/>
      <c r="L12" s="368"/>
      <c r="T12" s="466" t="str">
        <f>"#"&amp;ADDRESS(ROW(A_InstallationData!C42),COLUMN(A_InstallationData!C42),,,A_InstallationData!Q3)</f>
        <v>#A_InstallationData!$C$42</v>
      </c>
    </row>
    <row r="13" spans="2:20" ht="12.75">
      <c r="B13" s="223"/>
      <c r="C13" s="473" t="s">
        <v>124</v>
      </c>
      <c r="D13" s="629" t="str">
        <f>HYPERLINK(T13,Translations!$B$403)</f>
        <v>Списък на техническите връзки</v>
      </c>
      <c r="E13" s="630"/>
      <c r="F13" s="630"/>
      <c r="G13" s="630"/>
      <c r="H13" s="630"/>
      <c r="I13" s="630"/>
      <c r="J13" s="630"/>
      <c r="K13" s="630"/>
      <c r="L13" s="368"/>
      <c r="T13" s="466" t="str">
        <f>"#"&amp;ADDRESS(ROW(A_InstallationData!C147),COLUMN(A_InstallationData!C147),,,A_InstallationData!Q3)</f>
        <v>#A_InstallationData!$C$147</v>
      </c>
    </row>
    <row r="14" spans="2:20" ht="12.75">
      <c r="B14" s="223"/>
      <c r="C14" s="468" t="s">
        <v>211</v>
      </c>
      <c r="D14" s="629" t="str">
        <f>HYPERLINK(T14,Translations!$B$546)</f>
        <v>Идентификация на всички разглеждани инсталации</v>
      </c>
      <c r="E14" s="630"/>
      <c r="F14" s="630"/>
      <c r="G14" s="630"/>
      <c r="H14" s="630"/>
      <c r="I14" s="630"/>
      <c r="J14" s="630"/>
      <c r="K14" s="630"/>
      <c r="L14" s="368"/>
      <c r="T14" s="466" t="str">
        <f>"#"&amp;ADDRESS(ROW(A_InstallationData!C199),COLUMN(A_InstallationData!C199),,,A_InstallationData!Q3)</f>
        <v>#A_InstallationData!$C$199</v>
      </c>
    </row>
    <row r="15" spans="2:13" ht="12.75" customHeight="1">
      <c r="B15" s="193" t="s">
        <v>338</v>
      </c>
      <c r="C15" s="469"/>
      <c r="D15" s="641" t="str">
        <f>B_InitialSituation!D6</f>
        <v>Лист „Първоначална ситуация“</v>
      </c>
      <c r="E15" s="641"/>
      <c r="F15" s="628"/>
      <c r="G15" s="628"/>
      <c r="H15" s="628"/>
      <c r="I15" s="628"/>
      <c r="J15" s="628"/>
      <c r="K15" s="628"/>
      <c r="L15" s="628"/>
      <c r="M15" s="23"/>
    </row>
    <row r="16" spans="2:20" ht="12.75">
      <c r="B16" s="223"/>
      <c r="C16" s="473" t="s">
        <v>40</v>
      </c>
      <c r="D16" s="629" t="str">
        <f>HYPERLINK(T16,B_InitialSituation!$D$8)</f>
        <v>Ситуация ПРЕДИ сливането на инсталации</v>
      </c>
      <c r="E16" s="630"/>
      <c r="F16" s="630"/>
      <c r="G16" s="630"/>
      <c r="H16" s="630"/>
      <c r="I16" s="630"/>
      <c r="J16" s="630"/>
      <c r="K16" s="630"/>
      <c r="L16" s="368"/>
      <c r="T16" s="466" t="str">
        <f>"#"&amp;ADDRESS(ROW(B_InitialSituation!C8),COLUMN(B_InitialSituation!C8),,,B_InitialSituation!Q3)</f>
        <v>#B_InitialSituation!$C$8</v>
      </c>
    </row>
    <row r="17" spans="2:13" ht="12.75" customHeight="1">
      <c r="B17" s="193" t="s">
        <v>339</v>
      </c>
      <c r="C17" s="469"/>
      <c r="D17" s="641" t="str">
        <f>C_MergerSplitTransfer!D6</f>
        <v>Лист „Сливане, разделяне и прехвърляне“</v>
      </c>
      <c r="E17" s="641"/>
      <c r="F17" s="628"/>
      <c r="G17" s="628"/>
      <c r="H17" s="628"/>
      <c r="I17" s="628"/>
      <c r="J17" s="628"/>
      <c r="K17" s="628"/>
      <c r="L17" s="628"/>
      <c r="M17" s="23"/>
    </row>
    <row r="18" spans="2:20" ht="12.75">
      <c r="B18" s="223"/>
      <c r="C18" s="473" t="s">
        <v>40</v>
      </c>
      <c r="D18" s="629" t="str">
        <f>HYPERLINK(T18,C_MergerSplitTransfer!D8)</f>
        <v>Прехвърляне на квоти, капацитет и равнище на активност</v>
      </c>
      <c r="E18" s="630"/>
      <c r="F18" s="630"/>
      <c r="G18" s="630"/>
      <c r="H18" s="630"/>
      <c r="I18" s="630"/>
      <c r="J18" s="630"/>
      <c r="K18" s="630"/>
      <c r="L18" s="368"/>
      <c r="T18" s="466" t="str">
        <f>"#"&amp;ADDRESS(ROW(C_MergerSplitTransfer!C8),COLUMN(C_MergerSplitTransfer!C8),,,C_MergerSplitTransfer!Q3)</f>
        <v>#C_MergerSplitTransfer!$C$8</v>
      </c>
    </row>
    <row r="19" spans="2:13" ht="12.75">
      <c r="B19" s="193" t="s">
        <v>340</v>
      </c>
      <c r="C19" s="469"/>
      <c r="D19" s="627" t="str">
        <f>D_Summary!D6</f>
        <v>Лист „Обобщени данни“</v>
      </c>
      <c r="E19" s="627"/>
      <c r="F19" s="628"/>
      <c r="G19" s="628"/>
      <c r="H19" s="628"/>
      <c r="I19" s="628"/>
      <c r="J19" s="628"/>
      <c r="K19" s="628"/>
      <c r="L19" s="628"/>
      <c r="M19" s="23"/>
    </row>
    <row r="20" spans="2:20" ht="12.75">
      <c r="B20" s="223"/>
      <c r="C20" s="473" t="s">
        <v>40</v>
      </c>
      <c r="D20" s="629" t="str">
        <f>HYPERLINK(T20,D_Summary!$D$8)</f>
        <v>Инсталации, участващи в сливането, разделянето или прехвърлянето</v>
      </c>
      <c r="E20" s="630"/>
      <c r="F20" s="630"/>
      <c r="G20" s="630"/>
      <c r="H20" s="630"/>
      <c r="I20" s="630"/>
      <c r="J20" s="630"/>
      <c r="K20" s="630"/>
      <c r="L20" s="368"/>
      <c r="T20" s="466" t="str">
        <f>"#"&amp;ADDRESS(ROW(D_Summary!C7),COLUMN(D_Summary!C7),,,D_Summary!$Q$3)</f>
        <v>#D_Summary!$C$7</v>
      </c>
    </row>
    <row r="21" spans="2:20" ht="12.75">
      <c r="B21" s="223"/>
      <c r="C21" s="473" t="s">
        <v>70</v>
      </c>
      <c r="D21" s="629" t="str">
        <f>HYPERLINK(T21,D_Summary!$D$26)</f>
        <v>Данни за инсталацията</v>
      </c>
      <c r="E21" s="630"/>
      <c r="F21" s="630"/>
      <c r="G21" s="630"/>
      <c r="H21" s="630"/>
      <c r="I21" s="630"/>
      <c r="J21" s="630"/>
      <c r="K21" s="630"/>
      <c r="L21" s="368"/>
      <c r="T21" s="466" t="str">
        <f>"#"&amp;ADDRESS(ROW(D_Summary!C26),COLUMN(D_Summary!C26),,,D_Summary!$Q$3)</f>
        <v>#D_Summary!$C$26</v>
      </c>
    </row>
    <row r="22" spans="2:20" ht="12.75">
      <c r="B22" s="223"/>
      <c r="C22" s="473" t="s">
        <v>124</v>
      </c>
      <c r="D22" s="629" t="str">
        <f>HYPERLINK(T22,D_Summary!$D$65)</f>
        <v>Ново разпределение на квотите</v>
      </c>
      <c r="E22" s="630"/>
      <c r="F22" s="630"/>
      <c r="G22" s="630"/>
      <c r="H22" s="630"/>
      <c r="I22" s="630"/>
      <c r="J22" s="630"/>
      <c r="K22" s="630"/>
      <c r="L22" s="368"/>
      <c r="T22" s="466" t="str">
        <f>"#"&amp;ADDRESS(ROW(D_Summary!C65),COLUMN(D_Summary!C65),,,D_Summary!$Q$3)</f>
        <v>#D_Summary!$C$65</v>
      </c>
    </row>
    <row r="23" spans="2:13" ht="12.75">
      <c r="B23" s="193" t="s">
        <v>341</v>
      </c>
      <c r="C23" s="469"/>
      <c r="D23" s="627" t="str">
        <f>I_MSspecific!C5</f>
        <v>Работен лист „MSspecific“ (Данни специфични за ДЧ)— ДОПЪЛНИТЕЛНИ ДАННИ, ИЗИСКВАНИИ ОТ ДЪРЖАВАТА-ЧЛЕНКА)</v>
      </c>
      <c r="E23" s="627"/>
      <c r="F23" s="628"/>
      <c r="G23" s="628"/>
      <c r="H23" s="628"/>
      <c r="I23" s="628"/>
      <c r="J23" s="628"/>
      <c r="K23" s="628"/>
      <c r="L23" s="628"/>
      <c r="M23" s="23"/>
    </row>
    <row r="24" spans="2:12" ht="12.75">
      <c r="B24" s="223"/>
      <c r="C24" s="473" t="s">
        <v>40</v>
      </c>
      <c r="D24" s="629" t="str">
        <f>I_MSspecific!C7</f>
        <v>Определя се от държавата-членка</v>
      </c>
      <c r="E24" s="629"/>
      <c r="F24" s="629"/>
      <c r="G24" s="629"/>
      <c r="H24" s="629"/>
      <c r="I24" s="629"/>
      <c r="J24" s="629"/>
      <c r="K24" s="629"/>
      <c r="L24" s="368"/>
    </row>
    <row r="25" spans="2:13" ht="12.75">
      <c r="B25" s="193" t="s">
        <v>342</v>
      </c>
      <c r="C25" s="469"/>
      <c r="D25" s="627" t="str">
        <f>J_Comments!C5</f>
        <v>Работен лист „Comments“ (Коментари) — КОМЕНТАРИ И ДОПЪЛНИТЕЛНА ИНФОРМАЦИЯ</v>
      </c>
      <c r="E25" s="627"/>
      <c r="F25" s="628"/>
      <c r="G25" s="628"/>
      <c r="H25" s="628"/>
      <c r="I25" s="628"/>
      <c r="J25" s="628"/>
      <c r="K25" s="628"/>
      <c r="L25" s="628"/>
      <c r="M25" s="23"/>
    </row>
    <row r="26" spans="2:12" ht="12.75">
      <c r="B26" s="223"/>
      <c r="C26" s="473" t="s">
        <v>40</v>
      </c>
      <c r="D26" s="629" t="str">
        <f>J_Comments!C7</f>
        <v>Придружителни документи към настоящия доклад</v>
      </c>
      <c r="E26" s="629"/>
      <c r="F26" s="629"/>
      <c r="G26" s="629"/>
      <c r="H26" s="629"/>
      <c r="I26" s="629"/>
      <c r="J26" s="629"/>
      <c r="K26" s="629"/>
      <c r="L26" s="368"/>
    </row>
    <row r="27" spans="2:12" ht="12.75">
      <c r="B27" s="223"/>
      <c r="C27" s="473" t="s">
        <v>70</v>
      </c>
      <c r="D27" s="629" t="str">
        <f>J_Comments!C28</f>
        <v>Свободно място за всякаква друга допълнителна информация</v>
      </c>
      <c r="E27" s="629"/>
      <c r="F27" s="629"/>
      <c r="G27" s="629"/>
      <c r="H27" s="629"/>
      <c r="I27" s="629"/>
      <c r="J27" s="629"/>
      <c r="K27" s="629"/>
      <c r="L27" s="368"/>
    </row>
    <row r="28" spans="2:12" ht="12.75">
      <c r="B28" s="223"/>
      <c r="C28" s="470"/>
      <c r="D28" s="1"/>
      <c r="E28" s="1"/>
      <c r="F28" s="1"/>
      <c r="G28" s="1"/>
      <c r="H28" s="1"/>
      <c r="I28" s="1"/>
      <c r="J28" s="1"/>
      <c r="K28" s="1"/>
      <c r="L28" s="202"/>
    </row>
    <row r="29" spans="2:12" ht="12.75">
      <c r="B29" s="223"/>
      <c r="C29" s="224"/>
      <c r="D29" s="1"/>
      <c r="E29" s="1"/>
      <c r="F29" s="1"/>
      <c r="G29" s="1"/>
      <c r="H29" s="1"/>
      <c r="I29" s="1"/>
      <c r="J29" s="1"/>
      <c r="K29" s="1"/>
      <c r="L29" s="202"/>
    </row>
    <row r="30" spans="2:13" ht="12.75">
      <c r="B30" s="223"/>
      <c r="C30" s="223"/>
      <c r="D30" s="223"/>
      <c r="E30" s="223"/>
      <c r="F30" s="202"/>
      <c r="G30" s="202"/>
      <c r="H30" s="202"/>
      <c r="I30" s="202"/>
      <c r="J30" s="202"/>
      <c r="K30" s="202"/>
      <c r="L30" s="202"/>
      <c r="M30" s="23"/>
    </row>
    <row r="31" spans="2:13" ht="13.5" thickBot="1">
      <c r="B31" s="223"/>
      <c r="C31" s="223"/>
      <c r="D31" s="223"/>
      <c r="E31" s="223"/>
      <c r="F31" s="202"/>
      <c r="G31" s="202"/>
      <c r="H31" s="202"/>
      <c r="I31" s="202"/>
      <c r="J31" s="202"/>
      <c r="K31" s="202"/>
      <c r="L31" s="202"/>
      <c r="M31" s="23"/>
    </row>
    <row r="32" spans="2:12" ht="12.75">
      <c r="B32" s="95"/>
      <c r="C32" s="95"/>
      <c r="D32" s="225" t="str">
        <f>Translations!$B$282</f>
        <v>Езикова версия:</v>
      </c>
      <c r="E32" s="226"/>
      <c r="F32" s="226"/>
      <c r="G32" s="227"/>
      <c r="H32" s="228" t="str">
        <f>VersionDocumentation!B5</f>
        <v>Bulgarian</v>
      </c>
      <c r="I32" s="228"/>
      <c r="J32" s="228"/>
      <c r="K32" s="229"/>
      <c r="L32" s="95"/>
    </row>
    <row r="33" spans="2:12" ht="13.5" thickBot="1">
      <c r="B33" s="95"/>
      <c r="C33" s="95"/>
      <c r="D33" s="230" t="str">
        <f>Translations!$B$283</f>
        <v>Референтно име на файла:</v>
      </c>
      <c r="E33" s="231"/>
      <c r="F33" s="231"/>
      <c r="G33" s="232"/>
      <c r="H33" s="233" t="str">
        <f>VersionDocumentation!C3</f>
        <v>NE&amp;C MergerSplit_2015-11-22_COM_bg.XLS</v>
      </c>
      <c r="I33" s="233"/>
      <c r="J33" s="233"/>
      <c r="K33" s="234"/>
      <c r="L33" s="95"/>
    </row>
    <row r="34" spans="2:12" ht="12.7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2:12" ht="12.7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2:12" ht="13.5" thickBot="1">
      <c r="B36" s="95"/>
      <c r="C36" s="95"/>
      <c r="D36" s="213" t="str">
        <f>Translations!$B$284</f>
        <v>Информация за този файл:</v>
      </c>
      <c r="E36" s="213"/>
      <c r="F36" s="213"/>
      <c r="G36" s="95"/>
      <c r="H36" s="95"/>
      <c r="I36" s="95"/>
      <c r="J36" s="95"/>
      <c r="K36" s="95"/>
      <c r="L36" s="95"/>
    </row>
    <row r="37" spans="2:12" ht="12.75">
      <c r="B37" s="95"/>
      <c r="C37" s="95"/>
      <c r="D37" s="225" t="str">
        <f>Translations!$B$285</f>
        <v>Име на инсталацията:</v>
      </c>
      <c r="E37" s="226"/>
      <c r="F37" s="226"/>
      <c r="G37" s="227"/>
      <c r="H37" s="228">
        <f>IF(ISBLANK(A_InstallationData!J48),"",A_InstallationData!J48)</f>
      </c>
      <c r="I37" s="228"/>
      <c r="J37" s="228"/>
      <c r="K37" s="229"/>
      <c r="L37" s="95"/>
    </row>
    <row r="38" spans="2:12" ht="13.5" thickBot="1">
      <c r="B38" s="95"/>
      <c r="C38" s="95"/>
      <c r="D38" s="230" t="str">
        <f>Translations!$B$286</f>
        <v>Уникален идентификатор на инсталацията:</v>
      </c>
      <c r="E38" s="231"/>
      <c r="F38" s="231"/>
      <c r="G38" s="232"/>
      <c r="H38" s="233">
        <f>IF(CNTR_UniqueID="","",CNTR_UniqueID)</f>
      </c>
      <c r="I38" s="233"/>
      <c r="J38" s="233"/>
      <c r="K38" s="234"/>
      <c r="L38" s="95"/>
    </row>
    <row r="39" spans="2:12" ht="12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2:12" ht="32.25" customHeight="1">
      <c r="B40" s="95"/>
      <c r="C40" s="95"/>
      <c r="D40" s="633" t="str">
        <f>Translations!$B$287</f>
        <v>Ако съответният компетентен орган изисква да предадете подписано хартиено копие от мониторинговия доклад, използвайте мястото по-долу за подпис:</v>
      </c>
      <c r="E40" s="633"/>
      <c r="F40" s="633"/>
      <c r="G40" s="634"/>
      <c r="H40" s="634"/>
      <c r="I40" s="634"/>
      <c r="J40" s="634"/>
      <c r="K40" s="634"/>
      <c r="L40" s="95"/>
    </row>
    <row r="41" spans="2:12" ht="12.75">
      <c r="B41" s="95"/>
      <c r="C41" s="95"/>
      <c r="D41" s="95"/>
      <c r="E41" s="95"/>
      <c r="F41" s="95"/>
      <c r="G41" s="198"/>
      <c r="H41" s="95"/>
      <c r="I41" s="95"/>
      <c r="J41" s="95"/>
      <c r="K41" s="95"/>
      <c r="L41" s="95"/>
    </row>
    <row r="42" spans="2:12" ht="12.7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2:12" ht="12.7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2:12" ht="12.7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2:12" ht="12.75">
      <c r="B45" s="95"/>
      <c r="C45" s="95"/>
      <c r="D45" s="235"/>
      <c r="E45" s="235"/>
      <c r="F45" s="235"/>
      <c r="G45" s="95"/>
      <c r="H45" s="235"/>
      <c r="I45" s="95"/>
      <c r="J45" s="95"/>
      <c r="K45" s="95"/>
      <c r="L45" s="95"/>
    </row>
    <row r="46" spans="2:12" ht="25.5" customHeight="1">
      <c r="B46" s="95"/>
      <c r="C46" s="95"/>
      <c r="D46" s="631" t="str">
        <f>Translations!$B$288</f>
        <v>Дата</v>
      </c>
      <c r="E46" s="631"/>
      <c r="F46" s="631"/>
      <c r="G46" s="198"/>
      <c r="H46" s="631" t="str">
        <f>Translations!$B$289</f>
        <v>Име и подпис на 
юридически отговорно лице </v>
      </c>
      <c r="I46" s="632"/>
      <c r="J46" s="632"/>
      <c r="K46" s="632"/>
      <c r="L46" s="95"/>
    </row>
    <row r="47" spans="9:12" ht="12.75">
      <c r="I47" s="194"/>
      <c r="J47" s="194"/>
      <c r="K47" s="194"/>
      <c r="L47" s="194"/>
    </row>
  </sheetData>
  <sheetProtection sheet="1" objects="1" scenarios="1" formatCells="0" formatColumns="0" formatRows="0"/>
  <mergeCells count="42">
    <mergeCell ref="R2:S2"/>
    <mergeCell ref="T2:U2"/>
    <mergeCell ref="V2:W2"/>
    <mergeCell ref="X2:Y2"/>
    <mergeCell ref="D9:L9"/>
    <mergeCell ref="L2:M2"/>
    <mergeCell ref="F3:G3"/>
    <mergeCell ref="H3:I3"/>
    <mergeCell ref="J3:K3"/>
    <mergeCell ref="L3:M3"/>
    <mergeCell ref="C6:M6"/>
    <mergeCell ref="L4:M4"/>
    <mergeCell ref="D18:K18"/>
    <mergeCell ref="B2:B4"/>
    <mergeCell ref="F2:G2"/>
    <mergeCell ref="H2:I2"/>
    <mergeCell ref="J2:K2"/>
    <mergeCell ref="F4:G4"/>
    <mergeCell ref="H4:I4"/>
    <mergeCell ref="J4:K4"/>
    <mergeCell ref="C3:E3"/>
    <mergeCell ref="C4:E4"/>
    <mergeCell ref="D16:K16"/>
    <mergeCell ref="D17:L17"/>
    <mergeCell ref="D15:L15"/>
    <mergeCell ref="D10:L10"/>
    <mergeCell ref="D11:K11"/>
    <mergeCell ref="D12:K12"/>
    <mergeCell ref="D13:K13"/>
    <mergeCell ref="D14:K14"/>
    <mergeCell ref="H46:K46"/>
    <mergeCell ref="D46:F46"/>
    <mergeCell ref="D23:L23"/>
    <mergeCell ref="D27:K27"/>
    <mergeCell ref="D26:K26"/>
    <mergeCell ref="D40:K40"/>
    <mergeCell ref="D19:L19"/>
    <mergeCell ref="D22:K22"/>
    <mergeCell ref="D20:K20"/>
    <mergeCell ref="D24:K24"/>
    <mergeCell ref="D25:L25"/>
    <mergeCell ref="D21:K21"/>
  </mergeCells>
  <hyperlinks>
    <hyperlink ref="D24:K24" location="JUMP_I_Top" display="JUMP_I_Top"/>
    <hyperlink ref="D26:K26" location="JUMP_J_Top" display="JUMP_J_Top"/>
    <hyperlink ref="D27:K27" location="JUMP_J_II" display="JUMP_J_II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4" r:id="rId1"/>
  <headerFooter alignWithMargins="0">
    <oddHeader>&amp;L&amp;F; &amp;A&amp;R&amp;D; &amp;T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7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0.8515625" style="82" customWidth="1"/>
    <col min="2" max="16384" width="11.421875" style="82" customWidth="1"/>
  </cols>
  <sheetData>
    <row r="1" spans="1:7" ht="12.75">
      <c r="A1" s="114" t="s">
        <v>63</v>
      </c>
      <c r="B1" s="114" t="s">
        <v>66</v>
      </c>
      <c r="C1" s="114" t="s">
        <v>67</v>
      </c>
      <c r="D1" s="115"/>
      <c r="E1" s="115" t="s">
        <v>93</v>
      </c>
      <c r="F1" s="115"/>
      <c r="G1" s="115"/>
    </row>
    <row r="2" spans="1:5" ht="12.75">
      <c r="A2" s="82" t="s">
        <v>137</v>
      </c>
      <c r="B2" s="93" t="b">
        <v>1</v>
      </c>
      <c r="E2" s="206" t="b">
        <v>1</v>
      </c>
    </row>
    <row r="3" spans="1:5" ht="12.75">
      <c r="A3" s="82" t="s">
        <v>147</v>
      </c>
      <c r="B3" s="93" t="b">
        <v>1</v>
      </c>
      <c r="E3" s="206" t="b">
        <v>1</v>
      </c>
    </row>
    <row r="4" spans="1:5" ht="12.75">
      <c r="A4" s="82" t="s">
        <v>462</v>
      </c>
      <c r="B4" s="93" t="b">
        <v>1</v>
      </c>
      <c r="E4" s="206" t="b">
        <v>1</v>
      </c>
    </row>
    <row r="5" spans="1:5" ht="12.75">
      <c r="A5" s="82" t="s">
        <v>463</v>
      </c>
      <c r="B5" s="93" t="b">
        <v>1</v>
      </c>
      <c r="E5" s="206" t="b">
        <v>1</v>
      </c>
    </row>
    <row r="10" s="118" customFormat="1" ht="12.75">
      <c r="A10" s="118" t="s">
        <v>514</v>
      </c>
    </row>
    <row r="11" ht="12.75">
      <c r="A11" s="110" t="s">
        <v>516</v>
      </c>
    </row>
    <row r="12" ht="12.75">
      <c r="A12" s="133" t="s">
        <v>517</v>
      </c>
    </row>
    <row r="13" ht="12.75">
      <c r="A13" s="133" t="s">
        <v>518</v>
      </c>
    </row>
    <row r="14" ht="12.75">
      <c r="A14" s="133" t="s">
        <v>245</v>
      </c>
    </row>
    <row r="15" ht="13.5" thickBot="1">
      <c r="A15" s="133" t="s">
        <v>246</v>
      </c>
    </row>
    <row r="16" spans="1:3" ht="24.75" thickTop="1">
      <c r="A16" s="134" t="s">
        <v>212</v>
      </c>
      <c r="B16" s="135" t="s">
        <v>213</v>
      </c>
      <c r="C16" s="135" t="s">
        <v>215</v>
      </c>
    </row>
    <row r="17" spans="1:3" ht="14.25" thickBot="1">
      <c r="A17" s="136"/>
      <c r="B17" s="137" t="s">
        <v>214</v>
      </c>
      <c r="C17" s="137" t="s">
        <v>216</v>
      </c>
    </row>
    <row r="18" spans="1:3" ht="24">
      <c r="A18" s="138"/>
      <c r="B18" s="139" t="s">
        <v>510</v>
      </c>
      <c r="C18" s="1023" t="s">
        <v>510</v>
      </c>
    </row>
    <row r="19" spans="1:3" ht="24.75" thickBot="1">
      <c r="A19" s="140"/>
      <c r="B19" s="141" t="s">
        <v>511</v>
      </c>
      <c r="C19" s="1024"/>
    </row>
    <row r="20" spans="1:3" ht="14.25" thickBot="1" thickTop="1">
      <c r="A20" s="142" t="str">
        <f>Translations!B224</f>
        <v>Суров нефт</v>
      </c>
      <c r="B20" s="143">
        <v>73.3</v>
      </c>
      <c r="C20" s="144">
        <v>42.3</v>
      </c>
    </row>
    <row r="21" spans="1:3" ht="13.5" thickBot="1">
      <c r="A21" s="145" t="str">
        <f>Translations!B225</f>
        <v>Оримулсион (емулсия на битум във вода)</v>
      </c>
      <c r="B21" s="146">
        <v>76.9</v>
      </c>
      <c r="C21" s="147">
        <v>27.5</v>
      </c>
    </row>
    <row r="22" spans="1:3" ht="13.5" thickBot="1">
      <c r="A22" s="145" t="str">
        <f>Translations!B226</f>
        <v>Етанови, пропанови и бутанови продукти на база природен газ (Natural Gas Liquids)</v>
      </c>
      <c r="B22" s="146">
        <v>64.1</v>
      </c>
      <c r="C22" s="147">
        <v>44.2</v>
      </c>
    </row>
    <row r="23" spans="1:3" ht="13.5" thickBot="1">
      <c r="A23" s="145" t="str">
        <f>Translations!B227</f>
        <v>Бензин за двигатели</v>
      </c>
      <c r="B23" s="146">
        <v>69.2</v>
      </c>
      <c r="C23" s="147">
        <v>44.3</v>
      </c>
    </row>
    <row r="24" spans="1:3" ht="13.5" thickBot="1">
      <c r="A24" s="145" t="str">
        <f>Translations!B228</f>
        <v>Керосин</v>
      </c>
      <c r="B24" s="146">
        <v>71.8</v>
      </c>
      <c r="C24" s="147">
        <v>43.8</v>
      </c>
    </row>
    <row r="25" spans="1:3" ht="13.5" thickBot="1">
      <c r="A25" s="145" t="str">
        <f>Translations!B229</f>
        <v>Авиационен бензин</v>
      </c>
      <c r="B25" s="146">
        <v>70</v>
      </c>
      <c r="C25" s="147">
        <v>44.3</v>
      </c>
    </row>
    <row r="26" spans="1:3" ht="13.5" thickBot="1">
      <c r="A26" s="145" t="str">
        <f>Translations!B230</f>
        <v>Бензин за реактивни двигатели (Jet B)</v>
      </c>
      <c r="B26" s="146">
        <v>70</v>
      </c>
      <c r="C26" s="147">
        <v>44.3</v>
      </c>
    </row>
    <row r="27" spans="1:3" ht="13.5" thickBot="1">
      <c r="A27" s="145" t="str">
        <f>Translations!B231</f>
        <v>Керосин за реактивни двигатели (jet A1 или jet A)</v>
      </c>
      <c r="B27" s="146">
        <v>71.5</v>
      </c>
      <c r="C27" s="147">
        <v>44.1</v>
      </c>
    </row>
    <row r="28" spans="1:3" ht="13.5" thickBot="1">
      <c r="A28" s="145" t="str">
        <f>Translations!B232</f>
        <v>Шистов нефт</v>
      </c>
      <c r="B28" s="146">
        <v>73.3</v>
      </c>
      <c r="C28" s="147">
        <v>38.1</v>
      </c>
    </row>
    <row r="29" spans="1:3" ht="13.5" thickBot="1">
      <c r="A29" s="145" t="str">
        <f>Translations!B233</f>
        <v>Газьол/Дизелово гориво</v>
      </c>
      <c r="B29" s="146">
        <v>74</v>
      </c>
      <c r="C29" s="147">
        <v>43</v>
      </c>
    </row>
    <row r="30" spans="1:3" ht="13.5" thickBot="1">
      <c r="A30" s="145" t="str">
        <f>Translations!B234</f>
        <v>Мазут</v>
      </c>
      <c r="B30" s="146">
        <v>77.3</v>
      </c>
      <c r="C30" s="147">
        <v>40.4</v>
      </c>
    </row>
    <row r="31" spans="1:3" ht="13.5" thickBot="1">
      <c r="A31" s="145" t="str">
        <f>Translations!B235</f>
        <v>Втечнени нефтени газове</v>
      </c>
      <c r="B31" s="146">
        <v>63</v>
      </c>
      <c r="C31" s="147">
        <v>47.3</v>
      </c>
    </row>
    <row r="32" spans="1:3" ht="13.5" thickBot="1">
      <c r="A32" s="145" t="str">
        <f>Translations!B236</f>
        <v>Етан</v>
      </c>
      <c r="B32" s="146">
        <v>61.6</v>
      </c>
      <c r="C32" s="147" t="s">
        <v>512</v>
      </c>
    </row>
    <row r="33" spans="1:3" ht="13.5" thickBot="1">
      <c r="A33" s="145" t="str">
        <f>Translations!B237</f>
        <v>Бензин за нефтохимията</v>
      </c>
      <c r="B33" s="146">
        <v>73.3</v>
      </c>
      <c r="C33" s="147">
        <v>44.5</v>
      </c>
    </row>
    <row r="34" spans="1:3" ht="13.5" thickBot="1">
      <c r="A34" s="145" t="str">
        <f>Translations!B238</f>
        <v>Битум</v>
      </c>
      <c r="B34" s="146">
        <v>80.6</v>
      </c>
      <c r="C34" s="147">
        <v>40.2</v>
      </c>
    </row>
    <row r="35" spans="1:3" ht="13.5" thickBot="1">
      <c r="A35" s="145" t="str">
        <f>Translations!B239</f>
        <v>Смазочни масла</v>
      </c>
      <c r="B35" s="146">
        <v>73.3</v>
      </c>
      <c r="C35" s="147">
        <v>40.2</v>
      </c>
    </row>
    <row r="36" spans="1:3" ht="13.5" thickBot="1">
      <c r="A36" s="145" t="str">
        <f>Translations!B240</f>
        <v>Нефтен кокс</v>
      </c>
      <c r="B36" s="146">
        <v>97.5</v>
      </c>
      <c r="C36" s="147">
        <v>32.5</v>
      </c>
    </row>
    <row r="37" spans="1:3" ht="13.5" thickBot="1">
      <c r="A37" s="145" t="str">
        <f>Translations!B241</f>
        <v>Суровини за нефтопреработвателните заводи</v>
      </c>
      <c r="B37" s="146">
        <v>73.3</v>
      </c>
      <c r="C37" s="147">
        <v>43</v>
      </c>
    </row>
    <row r="38" spans="1:3" ht="13.5" thickBot="1">
      <c r="A38" s="145" t="str">
        <f>Translations!B242</f>
        <v>Нефтозаводски газ</v>
      </c>
      <c r="B38" s="146">
        <v>51.3</v>
      </c>
      <c r="C38" s="147">
        <v>49.5</v>
      </c>
    </row>
    <row r="39" spans="1:3" ht="13.5" thickBot="1">
      <c r="A39" s="145" t="str">
        <f>Translations!B243</f>
        <v>Парафинови восъци</v>
      </c>
      <c r="B39" s="146">
        <v>73.3</v>
      </c>
      <c r="C39" s="147">
        <v>40.2</v>
      </c>
    </row>
    <row r="40" spans="1:3" ht="13.5" thickBot="1">
      <c r="A40" s="145" t="str">
        <f>Translations!B244</f>
        <v>Уайтспирт (минерален терпентин) &amp; промишлен спирт (SBP)</v>
      </c>
      <c r="B40" s="146">
        <v>73.3</v>
      </c>
      <c r="C40" s="147">
        <v>40.2</v>
      </c>
    </row>
    <row r="41" spans="1:3" ht="13.5" thickBot="1">
      <c r="A41" s="145" t="str">
        <f>Translations!B245</f>
        <v>Други нефтопродукти</v>
      </c>
      <c r="B41" s="146">
        <v>73.3</v>
      </c>
      <c r="C41" s="147">
        <v>40.2</v>
      </c>
    </row>
    <row r="42" spans="1:3" ht="13.5" thickBot="1">
      <c r="A42" s="145" t="str">
        <f>Translations!B246</f>
        <v>Антрацитни въглища</v>
      </c>
      <c r="B42" s="146">
        <v>98.2</v>
      </c>
      <c r="C42" s="147">
        <v>26.7</v>
      </c>
    </row>
    <row r="43" spans="1:3" ht="13.5" thickBot="1">
      <c r="A43" s="145" t="str">
        <f>Translations!B247</f>
        <v>Коксуващи се въглища</v>
      </c>
      <c r="B43" s="146">
        <v>94.5</v>
      </c>
      <c r="C43" s="147">
        <v>28.2</v>
      </c>
    </row>
    <row r="44" spans="1:3" ht="13.5" thickBot="1">
      <c r="A44" s="145" t="str">
        <f>Translations!B248</f>
        <v>Други видове черни въглища</v>
      </c>
      <c r="B44" s="146">
        <v>94.5</v>
      </c>
      <c r="C44" s="147">
        <v>25.8</v>
      </c>
    </row>
    <row r="45" spans="1:3" ht="13.5" thickBot="1">
      <c r="A45" s="145" t="str">
        <f>Translations!B249</f>
        <v>Кафяви въглища</v>
      </c>
      <c r="B45" s="146">
        <v>96</v>
      </c>
      <c r="C45" s="147">
        <v>18.9</v>
      </c>
    </row>
    <row r="46" spans="1:3" ht="13.5" thickBot="1">
      <c r="A46" s="148" t="str">
        <f>Translations!B250</f>
        <v>Лигнитни въглища</v>
      </c>
      <c r="B46" s="146">
        <v>101.1</v>
      </c>
      <c r="C46" s="147">
        <v>11.9</v>
      </c>
    </row>
    <row r="47" spans="1:3" ht="13.5" thickBot="1">
      <c r="A47" s="145" t="str">
        <f>Translations!B251</f>
        <v>Нефтошисти и катранени пясъци</v>
      </c>
      <c r="B47" s="146">
        <v>106.6</v>
      </c>
      <c r="C47" s="147">
        <v>8.9</v>
      </c>
    </row>
    <row r="48" spans="1:3" ht="13.5" thickBot="1">
      <c r="A48" s="145" t="str">
        <f>Translations!B252</f>
        <v>Брикети от черни или кафяви въглища (Patent Fuel)</v>
      </c>
      <c r="B48" s="146">
        <v>97.5</v>
      </c>
      <c r="C48" s="147">
        <v>20.7</v>
      </c>
    </row>
    <row r="49" spans="1:3" ht="13.5" thickBot="1">
      <c r="A49" s="145" t="str">
        <f>Translations!B253</f>
        <v>Кокс за косова пещ &amp; лигнитен кокс</v>
      </c>
      <c r="B49" s="146">
        <v>107</v>
      </c>
      <c r="C49" s="147">
        <v>28.2</v>
      </c>
    </row>
    <row r="50" spans="1:3" ht="13.5" thickBot="1">
      <c r="A50" s="145" t="str">
        <f>Translations!B254</f>
        <v>Кокс, получен при производстввото на генераторен газ</v>
      </c>
      <c r="B50" s="146">
        <v>107</v>
      </c>
      <c r="C50" s="147">
        <v>28.2</v>
      </c>
    </row>
    <row r="51" spans="1:3" ht="13.5" thickBot="1">
      <c r="A51" s="145" t="str">
        <f>Translations!B255</f>
        <v>Каменовъглен катран</v>
      </c>
      <c r="B51" s="146">
        <v>80.6</v>
      </c>
      <c r="C51" s="147">
        <v>28</v>
      </c>
    </row>
    <row r="52" spans="1:3" ht="13.5" thickBot="1">
      <c r="A52" s="145" t="str">
        <f>Translations!B256</f>
        <v>Генераторен газ</v>
      </c>
      <c r="B52" s="146">
        <v>44.7</v>
      </c>
      <c r="C52" s="147">
        <v>38.7</v>
      </c>
    </row>
    <row r="53" spans="1:3" ht="13.5" thickBot="1">
      <c r="A53" s="145" t="str">
        <f>Translations!B257</f>
        <v>Коксов газ</v>
      </c>
      <c r="B53" s="146">
        <v>44.7</v>
      </c>
      <c r="C53" s="147">
        <v>38.7</v>
      </c>
    </row>
    <row r="54" spans="1:3" ht="13.5" thickBot="1">
      <c r="A54" s="145" t="str">
        <f>Translations!B258</f>
        <v>Доменен газ</v>
      </c>
      <c r="B54" s="146">
        <v>259.4</v>
      </c>
      <c r="C54" s="147">
        <v>2.5</v>
      </c>
    </row>
    <row r="55" spans="1:3" ht="13.5" thickBot="1">
      <c r="A55" s="145" t="str">
        <f>Translations!B259</f>
        <v>Газ от кислородни конвертори</v>
      </c>
      <c r="B55" s="146">
        <v>171.8</v>
      </c>
      <c r="C55" s="147">
        <v>7.1</v>
      </c>
    </row>
    <row r="56" spans="1:3" ht="13.5" thickBot="1">
      <c r="A56" s="145" t="str">
        <f>Translations!B260</f>
        <v>Природен газ</v>
      </c>
      <c r="B56" s="146">
        <v>56.1</v>
      </c>
      <c r="C56" s="147">
        <v>48</v>
      </c>
    </row>
    <row r="57" spans="1:3" ht="13.5" thickBot="1">
      <c r="A57" s="145" t="str">
        <f>Translations!B261</f>
        <v>Промишлени отпадъци</v>
      </c>
      <c r="B57" s="146">
        <v>142.9</v>
      </c>
      <c r="C57" s="147" t="s">
        <v>513</v>
      </c>
    </row>
    <row r="58" spans="1:3" ht="13.5" thickBot="1">
      <c r="A58" s="145" t="str">
        <f>Translations!B262</f>
        <v>отпадъчни масла</v>
      </c>
      <c r="B58" s="146">
        <v>73.3</v>
      </c>
      <c r="C58" s="147">
        <v>40.2</v>
      </c>
    </row>
    <row r="59" spans="1:3" ht="13.5" thickBot="1">
      <c r="A59" s="148" t="str">
        <f>Translations!B263</f>
        <v>Торф</v>
      </c>
      <c r="B59" s="146">
        <v>105.9</v>
      </c>
      <c r="C59" s="147">
        <v>9.8</v>
      </c>
    </row>
    <row r="60" spans="1:3" ht="13.5" thickBot="1">
      <c r="A60" s="145" t="str">
        <f>Translations!B264</f>
        <v>Дървесина/дървесни отпадъци</v>
      </c>
      <c r="B60" s="146">
        <v>0</v>
      </c>
      <c r="C60" s="147">
        <v>15.6</v>
      </c>
    </row>
    <row r="61" spans="1:3" ht="13.5" thickBot="1">
      <c r="A61" s="145" t="str">
        <f>Translations!B265</f>
        <v>Друга първична твърда биомаса</v>
      </c>
      <c r="B61" s="146">
        <v>0</v>
      </c>
      <c r="C61" s="147">
        <v>11.6</v>
      </c>
    </row>
    <row r="62" spans="1:3" ht="13.5" thickBot="1">
      <c r="A62" s="145" t="str">
        <f>Translations!B266</f>
        <v>Дървени въглища</v>
      </c>
      <c r="B62" s="146">
        <v>0</v>
      </c>
      <c r="C62" s="147">
        <v>29.5</v>
      </c>
    </row>
    <row r="63" spans="1:3" ht="13.5" thickBot="1">
      <c r="A63" s="145" t="str">
        <f>Translations!B267</f>
        <v>Биобензин</v>
      </c>
      <c r="B63" s="146">
        <v>0</v>
      </c>
      <c r="C63" s="147">
        <v>27</v>
      </c>
    </row>
    <row r="64" spans="1:3" ht="13.5" thickBot="1">
      <c r="A64" s="145" t="str">
        <f>Translations!B268</f>
        <v>Биодизелови горива</v>
      </c>
      <c r="B64" s="146">
        <v>0</v>
      </c>
      <c r="C64" s="147">
        <v>27</v>
      </c>
    </row>
    <row r="65" spans="1:3" ht="13.5" thickBot="1">
      <c r="A65" s="145" t="str">
        <f>Translations!B269</f>
        <v>други течни биогорива</v>
      </c>
      <c r="B65" s="146">
        <v>0</v>
      </c>
      <c r="C65" s="147">
        <v>27.4</v>
      </c>
    </row>
    <row r="66" spans="1:3" ht="13.5" thickBot="1">
      <c r="A66" s="145" t="str">
        <f>Translations!B270</f>
        <v>Сметищен газ</v>
      </c>
      <c r="B66" s="146">
        <v>0</v>
      </c>
      <c r="C66" s="147">
        <v>50.4</v>
      </c>
    </row>
    <row r="67" spans="1:3" ht="13.5" thickBot="1">
      <c r="A67" s="145" t="str">
        <f>Translations!B271</f>
        <v>Газ от пречиствателни станции</v>
      </c>
      <c r="B67" s="146">
        <v>0</v>
      </c>
      <c r="C67" s="147">
        <v>50.4</v>
      </c>
    </row>
    <row r="68" spans="1:3" ht="13.5" thickBot="1">
      <c r="A68" s="145" t="str">
        <f>Translations!B272</f>
        <v>Други видове биогаз</v>
      </c>
      <c r="B68" s="146">
        <v>0</v>
      </c>
      <c r="C68" s="147">
        <v>50.4</v>
      </c>
    </row>
    <row r="69" spans="1:3" ht="13.5" thickBot="1">
      <c r="A69" s="149" t="str">
        <f>Translations!B273</f>
        <v>Отпадъчни автомобилни гуми</v>
      </c>
      <c r="B69" s="146">
        <v>85</v>
      </c>
      <c r="C69" s="147" t="s">
        <v>513</v>
      </c>
    </row>
    <row r="70" spans="1:3" ht="13.5" thickBot="1">
      <c r="A70" s="145" t="str">
        <f>Translations!B274</f>
        <v>Въглероден оксид</v>
      </c>
      <c r="B70" s="146">
        <v>155.2</v>
      </c>
      <c r="C70" s="147">
        <v>10.1</v>
      </c>
    </row>
    <row r="71" spans="1:3" ht="13.5" thickBot="1">
      <c r="A71" s="150" t="str">
        <f>Translations!B275</f>
        <v>Метан</v>
      </c>
      <c r="B71" s="151">
        <v>54.9</v>
      </c>
      <c r="C71" s="152">
        <v>50</v>
      </c>
    </row>
    <row r="72" spans="1:3" ht="13.5" thickBot="1">
      <c r="A72" s="150"/>
      <c r="B72" s="151"/>
      <c r="C72" s="152"/>
    </row>
    <row r="73" spans="1:3" ht="12.75">
      <c r="A73" s="153" t="s">
        <v>515</v>
      </c>
      <c r="B73" s="93"/>
      <c r="C73" s="93"/>
    </row>
  </sheetData>
  <sheetProtection sheet="1" objects="1" scenarios="1" formatCells="0" formatColumns="0" formatRows="0"/>
  <mergeCells count="1">
    <mergeCell ref="C18:C19"/>
  </mergeCells>
  <dataValidations count="1">
    <dataValidation type="list" allowBlank="1" showInputMessage="1" showErrorMessage="1" sqref="E2:E5 B2:B5">
      <formula1>Euconst_TrueFalse</formula1>
    </dataValidation>
  </dataValidations>
  <printOptions/>
  <pageMargins left="0.787401575" right="0.787401575" top="0.984251969" bottom="0.984251969" header="0.4921259845" footer="0.4921259845"/>
  <pageSetup fitToHeight="4" fitToWidth="1" horizontalDpi="600" verticalDpi="600" orientation="portrait" paperSize="9" scale="73" r:id="rId1"/>
  <headerFooter alignWithMargins="0">
    <oddHeader>&amp;L&amp;F; &amp;A&amp;R&amp;D; &amp;T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637"/>
  <sheetViews>
    <sheetView zoomScalePageLayoutView="0" workbookViewId="0" topLeftCell="A318">
      <selection activeCell="B323" sqref="B323"/>
    </sheetView>
  </sheetViews>
  <sheetFormatPr defaultColWidth="11.421875" defaultRowHeight="12.75"/>
  <cols>
    <col min="1" max="1" width="9.421875" style="155" customWidth="1"/>
    <col min="2" max="2" width="130.57421875" style="504" customWidth="1"/>
    <col min="3" max="3" width="70.7109375" style="155" customWidth="1"/>
    <col min="4" max="16384" width="11.421875" style="155" customWidth="1"/>
  </cols>
  <sheetData>
    <row r="1" spans="1:3" s="154" customFormat="1" ht="15">
      <c r="A1" s="154" t="s">
        <v>420</v>
      </c>
      <c r="B1" s="503" t="s">
        <v>64</v>
      </c>
      <c r="C1" s="154" t="s">
        <v>65</v>
      </c>
    </row>
    <row r="2" spans="1:2" ht="15">
      <c r="A2" s="250">
        <v>1</v>
      </c>
      <c r="B2" s="116" t="s">
        <v>558</v>
      </c>
    </row>
    <row r="3" spans="1:2" ht="15">
      <c r="A3" s="250">
        <v>2</v>
      </c>
      <c r="B3" s="116" t="s">
        <v>559</v>
      </c>
    </row>
    <row r="4" spans="1:2" ht="15">
      <c r="A4" s="250">
        <v>3</v>
      </c>
      <c r="B4" s="116" t="s">
        <v>560</v>
      </c>
    </row>
    <row r="5" spans="1:2" ht="15">
      <c r="A5" s="250">
        <v>4</v>
      </c>
      <c r="B5" s="116" t="s">
        <v>561</v>
      </c>
    </row>
    <row r="6" spans="1:2" ht="15">
      <c r="A6" s="250">
        <v>5</v>
      </c>
      <c r="B6" s="116" t="s">
        <v>562</v>
      </c>
    </row>
    <row r="7" spans="1:2" ht="15">
      <c r="A7" s="250">
        <v>6</v>
      </c>
      <c r="B7" s="116" t="s">
        <v>563</v>
      </c>
    </row>
    <row r="8" spans="1:2" ht="15">
      <c r="A8" s="250">
        <v>7</v>
      </c>
      <c r="B8" s="116" t="s">
        <v>564</v>
      </c>
    </row>
    <row r="9" spans="1:2" ht="15">
      <c r="A9" s="250">
        <v>8</v>
      </c>
      <c r="B9" s="116" t="s">
        <v>565</v>
      </c>
    </row>
    <row r="10" spans="1:2" ht="15">
      <c r="A10" s="250">
        <v>9</v>
      </c>
      <c r="B10" s="116" t="s">
        <v>566</v>
      </c>
    </row>
    <row r="11" spans="1:2" ht="15">
      <c r="A11" s="250">
        <v>10</v>
      </c>
      <c r="B11" s="116" t="s">
        <v>567</v>
      </c>
    </row>
    <row r="12" spans="1:2" ht="15">
      <c r="A12" s="250">
        <v>11</v>
      </c>
      <c r="B12" s="116" t="s">
        <v>568</v>
      </c>
    </row>
    <row r="13" spans="1:2" ht="15">
      <c r="A13" s="250">
        <v>12</v>
      </c>
      <c r="B13" s="116" t="s">
        <v>569</v>
      </c>
    </row>
    <row r="14" spans="1:2" ht="15">
      <c r="A14" s="250">
        <v>13</v>
      </c>
      <c r="B14" s="116" t="s">
        <v>570</v>
      </c>
    </row>
    <row r="15" spans="1:2" ht="15">
      <c r="A15" s="250">
        <v>14</v>
      </c>
      <c r="B15" s="116" t="s">
        <v>571</v>
      </c>
    </row>
    <row r="16" spans="1:2" ht="15">
      <c r="A16" s="250">
        <v>15</v>
      </c>
      <c r="B16" s="116" t="s">
        <v>572</v>
      </c>
    </row>
    <row r="17" spans="1:2" ht="15">
      <c r="A17" s="250">
        <v>16</v>
      </c>
      <c r="B17" s="116" t="s">
        <v>573</v>
      </c>
    </row>
    <row r="18" spans="1:2" ht="15">
      <c r="A18" s="250">
        <v>17</v>
      </c>
      <c r="B18" s="116" t="s">
        <v>574</v>
      </c>
    </row>
    <row r="19" spans="1:2" ht="15">
      <c r="A19" s="250">
        <v>18</v>
      </c>
      <c r="B19" s="116" t="s">
        <v>575</v>
      </c>
    </row>
    <row r="20" spans="1:2" ht="15">
      <c r="A20" s="250">
        <v>19</v>
      </c>
      <c r="B20" s="116" t="s">
        <v>576</v>
      </c>
    </row>
    <row r="21" spans="1:2" ht="15">
      <c r="A21" s="250">
        <v>20</v>
      </c>
      <c r="B21" s="116" t="s">
        <v>577</v>
      </c>
    </row>
    <row r="22" spans="1:2" ht="15">
      <c r="A22" s="250">
        <v>21</v>
      </c>
      <c r="B22" s="116" t="s">
        <v>578</v>
      </c>
    </row>
    <row r="23" spans="1:2" ht="15">
      <c r="A23" s="250">
        <v>22</v>
      </c>
      <c r="B23" s="116" t="s">
        <v>579</v>
      </c>
    </row>
    <row r="24" spans="1:2" ht="15">
      <c r="A24" s="250">
        <v>23</v>
      </c>
      <c r="B24" s="116" t="s">
        <v>580</v>
      </c>
    </row>
    <row r="25" spans="1:2" ht="15">
      <c r="A25" s="250">
        <v>24</v>
      </c>
      <c r="B25" s="116" t="s">
        <v>581</v>
      </c>
    </row>
    <row r="26" spans="1:2" ht="15">
      <c r="A26" s="250">
        <v>25</v>
      </c>
      <c r="B26" s="116" t="s">
        <v>582</v>
      </c>
    </row>
    <row r="27" spans="1:2" ht="15">
      <c r="A27" s="250">
        <v>26</v>
      </c>
      <c r="B27" s="116" t="s">
        <v>583</v>
      </c>
    </row>
    <row r="28" spans="1:2" ht="15">
      <c r="A28" s="250">
        <v>27</v>
      </c>
      <c r="B28" s="116" t="s">
        <v>581</v>
      </c>
    </row>
    <row r="29" spans="1:2" ht="15">
      <c r="A29" s="250">
        <v>28</v>
      </c>
      <c r="B29" s="116" t="s">
        <v>584</v>
      </c>
    </row>
    <row r="30" spans="1:2" ht="15">
      <c r="A30" s="250">
        <v>29</v>
      </c>
      <c r="B30" s="116" t="s">
        <v>585</v>
      </c>
    </row>
    <row r="31" spans="1:2" ht="15">
      <c r="A31" s="250">
        <v>30</v>
      </c>
      <c r="B31" s="116" t="s">
        <v>586</v>
      </c>
    </row>
    <row r="32" spans="1:2" ht="15">
      <c r="A32" s="250">
        <v>31</v>
      </c>
      <c r="B32" s="116" t="s">
        <v>587</v>
      </c>
    </row>
    <row r="33" spans="1:2" ht="15">
      <c r="A33" s="250">
        <v>32</v>
      </c>
      <c r="B33" s="116" t="s">
        <v>588</v>
      </c>
    </row>
    <row r="34" spans="1:2" ht="15">
      <c r="A34" s="250">
        <v>33</v>
      </c>
      <c r="B34" s="116" t="s">
        <v>589</v>
      </c>
    </row>
    <row r="35" spans="1:2" ht="15">
      <c r="A35" s="250">
        <v>34</v>
      </c>
      <c r="B35" s="116" t="s">
        <v>590</v>
      </c>
    </row>
    <row r="36" spans="1:2" ht="15">
      <c r="A36" s="250">
        <v>35</v>
      </c>
      <c r="B36" s="116" t="s">
        <v>591</v>
      </c>
    </row>
    <row r="37" spans="1:2" ht="15">
      <c r="A37" s="250">
        <v>36</v>
      </c>
      <c r="B37" s="116" t="s">
        <v>587</v>
      </c>
    </row>
    <row r="38" spans="1:2" ht="15">
      <c r="A38" s="250">
        <v>37</v>
      </c>
      <c r="B38" s="116" t="s">
        <v>588</v>
      </c>
    </row>
    <row r="39" spans="1:2" ht="15">
      <c r="A39" s="250">
        <v>38</v>
      </c>
      <c r="B39" s="116" t="s">
        <v>589</v>
      </c>
    </row>
    <row r="40" spans="1:2" ht="15">
      <c r="A40" s="250">
        <v>39</v>
      </c>
      <c r="B40" s="116" t="s">
        <v>590</v>
      </c>
    </row>
    <row r="41" spans="1:2" ht="15">
      <c r="A41" s="250">
        <v>40</v>
      </c>
      <c r="B41" s="116" t="s">
        <v>592</v>
      </c>
    </row>
    <row r="42" spans="1:2" ht="15">
      <c r="A42" s="250">
        <v>41</v>
      </c>
      <c r="B42" s="116" t="s">
        <v>593</v>
      </c>
    </row>
    <row r="43" spans="1:2" ht="15">
      <c r="A43" s="250">
        <v>42</v>
      </c>
      <c r="B43" s="116" t="s">
        <v>594</v>
      </c>
    </row>
    <row r="44" spans="1:2" ht="15">
      <c r="A44" s="250">
        <v>43</v>
      </c>
      <c r="B44" s="116" t="s">
        <v>595</v>
      </c>
    </row>
    <row r="45" spans="1:2" ht="15">
      <c r="A45" s="250">
        <v>44</v>
      </c>
      <c r="B45" s="116" t="s">
        <v>596</v>
      </c>
    </row>
    <row r="46" spans="1:2" ht="15">
      <c r="A46" s="250">
        <v>45</v>
      </c>
      <c r="B46" s="116" t="s">
        <v>597</v>
      </c>
    </row>
    <row r="47" spans="1:2" ht="15">
      <c r="A47" s="250">
        <v>46</v>
      </c>
      <c r="B47" s="116" t="s">
        <v>598</v>
      </c>
    </row>
    <row r="48" spans="1:2" ht="15">
      <c r="A48" s="250">
        <v>47</v>
      </c>
      <c r="B48" s="116" t="s">
        <v>599</v>
      </c>
    </row>
    <row r="49" spans="1:2" ht="15">
      <c r="A49" s="250">
        <v>48</v>
      </c>
      <c r="B49" s="116" t="s">
        <v>600</v>
      </c>
    </row>
    <row r="50" spans="1:2" ht="15">
      <c r="A50" s="250">
        <v>49</v>
      </c>
      <c r="B50" s="116" t="s">
        <v>601</v>
      </c>
    </row>
    <row r="51" spans="1:2" ht="15">
      <c r="A51" s="250">
        <v>50</v>
      </c>
      <c r="B51" s="116" t="s">
        <v>602</v>
      </c>
    </row>
    <row r="52" spans="1:2" ht="15">
      <c r="A52" s="250">
        <v>51</v>
      </c>
      <c r="B52" s="116" t="s">
        <v>603</v>
      </c>
    </row>
    <row r="53" spans="1:2" ht="15">
      <c r="A53" s="250">
        <v>54</v>
      </c>
      <c r="B53" s="116" t="s">
        <v>604</v>
      </c>
    </row>
    <row r="54" spans="1:2" ht="15">
      <c r="A54" s="250">
        <v>55</v>
      </c>
      <c r="B54" s="116" t="s">
        <v>605</v>
      </c>
    </row>
    <row r="55" spans="1:2" ht="15">
      <c r="A55" s="250">
        <v>56</v>
      </c>
      <c r="B55" s="116" t="s">
        <v>606</v>
      </c>
    </row>
    <row r="56" spans="1:2" ht="15">
      <c r="A56" s="250">
        <v>57</v>
      </c>
      <c r="B56" s="116" t="s">
        <v>607</v>
      </c>
    </row>
    <row r="57" spans="1:2" ht="15">
      <c r="A57" s="250">
        <v>58</v>
      </c>
      <c r="B57" s="116" t="s">
        <v>608</v>
      </c>
    </row>
    <row r="58" spans="1:2" ht="15">
      <c r="A58" s="250">
        <v>59</v>
      </c>
      <c r="B58" s="116" t="s">
        <v>609</v>
      </c>
    </row>
    <row r="59" spans="1:2" ht="15">
      <c r="A59" s="250">
        <v>60</v>
      </c>
      <c r="B59" s="116" t="s">
        <v>610</v>
      </c>
    </row>
    <row r="60" spans="1:2" ht="15">
      <c r="A60" s="250">
        <v>61</v>
      </c>
      <c r="B60" s="116" t="s">
        <v>611</v>
      </c>
    </row>
    <row r="61" spans="1:2" ht="15">
      <c r="A61" s="250">
        <v>62</v>
      </c>
      <c r="B61" s="116" t="s">
        <v>612</v>
      </c>
    </row>
    <row r="62" spans="1:2" ht="15">
      <c r="A62" s="250">
        <v>63</v>
      </c>
      <c r="B62" s="116" t="s">
        <v>613</v>
      </c>
    </row>
    <row r="63" spans="1:2" ht="15">
      <c r="A63" s="250">
        <v>64</v>
      </c>
      <c r="B63" s="116" t="s">
        <v>614</v>
      </c>
    </row>
    <row r="64" spans="1:2" ht="15">
      <c r="A64" s="250">
        <v>65</v>
      </c>
      <c r="B64" s="116" t="s">
        <v>615</v>
      </c>
    </row>
    <row r="65" spans="1:2" ht="15">
      <c r="A65" s="250">
        <v>66</v>
      </c>
      <c r="B65" s="116" t="s">
        <v>616</v>
      </c>
    </row>
    <row r="66" spans="1:2" ht="15">
      <c r="A66" s="250">
        <v>67</v>
      </c>
      <c r="B66" s="116" t="s">
        <v>617</v>
      </c>
    </row>
    <row r="67" spans="1:2" ht="15">
      <c r="A67" s="250">
        <v>68</v>
      </c>
      <c r="B67" s="116" t="s">
        <v>618</v>
      </c>
    </row>
    <row r="68" spans="1:2" ht="15">
      <c r="A68" s="250">
        <v>69</v>
      </c>
      <c r="B68" s="116" t="s">
        <v>619</v>
      </c>
    </row>
    <row r="69" spans="1:2" ht="15">
      <c r="A69" s="250">
        <v>70</v>
      </c>
      <c r="B69" s="116" t="s">
        <v>618</v>
      </c>
    </row>
    <row r="70" spans="1:2" ht="15">
      <c r="A70" s="250">
        <v>71</v>
      </c>
      <c r="B70" s="116" t="s">
        <v>620</v>
      </c>
    </row>
    <row r="71" spans="1:2" ht="15">
      <c r="A71" s="250">
        <v>72</v>
      </c>
      <c r="B71" s="116" t="s">
        <v>621</v>
      </c>
    </row>
    <row r="72" spans="1:2" ht="15">
      <c r="A72" s="250">
        <v>76</v>
      </c>
      <c r="B72" s="116" t="s">
        <v>622</v>
      </c>
    </row>
    <row r="73" spans="1:2" ht="15">
      <c r="A73" s="250">
        <v>77</v>
      </c>
      <c r="B73" s="116" t="s">
        <v>623</v>
      </c>
    </row>
    <row r="74" spans="1:2" ht="15">
      <c r="A74" s="250">
        <v>78</v>
      </c>
      <c r="B74" s="116" t="s">
        <v>624</v>
      </c>
    </row>
    <row r="75" spans="1:2" ht="15">
      <c r="A75" s="250">
        <v>79</v>
      </c>
      <c r="B75" s="116" t="s">
        <v>625</v>
      </c>
    </row>
    <row r="76" spans="1:2" ht="15">
      <c r="A76" s="250">
        <v>80</v>
      </c>
      <c r="B76" s="116" t="s">
        <v>626</v>
      </c>
    </row>
    <row r="77" spans="1:2" ht="15">
      <c r="A77" s="250">
        <v>81</v>
      </c>
      <c r="B77" s="116" t="s">
        <v>627</v>
      </c>
    </row>
    <row r="78" spans="1:2" ht="15">
      <c r="A78" s="250">
        <v>82</v>
      </c>
      <c r="B78" s="116" t="s">
        <v>628</v>
      </c>
    </row>
    <row r="79" spans="1:2" ht="15">
      <c r="A79" s="250">
        <v>83</v>
      </c>
      <c r="B79" s="116" t="s">
        <v>629</v>
      </c>
    </row>
    <row r="80" spans="1:2" ht="15">
      <c r="A80" s="250">
        <v>84</v>
      </c>
      <c r="B80" s="116" t="s">
        <v>630</v>
      </c>
    </row>
    <row r="81" spans="1:2" ht="15">
      <c r="A81" s="250">
        <v>85</v>
      </c>
      <c r="B81" s="116" t="s">
        <v>631</v>
      </c>
    </row>
    <row r="82" spans="1:2" ht="15">
      <c r="A82" s="250">
        <v>86</v>
      </c>
      <c r="B82" s="116" t="s">
        <v>632</v>
      </c>
    </row>
    <row r="83" spans="1:2" ht="15">
      <c r="A83" s="250">
        <v>87</v>
      </c>
      <c r="B83" s="116" t="s">
        <v>633</v>
      </c>
    </row>
    <row r="84" spans="1:2" ht="15">
      <c r="A84" s="250">
        <v>88</v>
      </c>
      <c r="B84" s="116" t="s">
        <v>634</v>
      </c>
    </row>
    <row r="85" spans="1:2" ht="15">
      <c r="A85" s="250">
        <v>89</v>
      </c>
      <c r="B85" s="116" t="s">
        <v>635</v>
      </c>
    </row>
    <row r="86" spans="1:2" ht="15">
      <c r="A86" s="250">
        <v>90</v>
      </c>
      <c r="B86" s="116" t="s">
        <v>636</v>
      </c>
    </row>
    <row r="87" spans="1:2" ht="15">
      <c r="A87" s="250">
        <v>91</v>
      </c>
      <c r="B87" s="116" t="s">
        <v>637</v>
      </c>
    </row>
    <row r="88" spans="1:2" ht="15">
      <c r="A88" s="597">
        <v>92</v>
      </c>
      <c r="B88" s="284" t="s">
        <v>638</v>
      </c>
    </row>
    <row r="89" spans="1:2" ht="15">
      <c r="A89" s="597">
        <v>93</v>
      </c>
      <c r="B89" s="284" t="s">
        <v>639</v>
      </c>
    </row>
    <row r="90" spans="1:2" ht="15">
      <c r="A90" s="250">
        <v>94</v>
      </c>
      <c r="B90" s="284" t="s">
        <v>640</v>
      </c>
    </row>
    <row r="91" spans="1:2" ht="15">
      <c r="A91" s="250">
        <v>96</v>
      </c>
      <c r="B91" s="284" t="s">
        <v>641</v>
      </c>
    </row>
    <row r="92" spans="1:2" ht="15">
      <c r="A92" s="250">
        <v>97</v>
      </c>
      <c r="B92" s="284" t="s">
        <v>642</v>
      </c>
    </row>
    <row r="93" spans="1:2" ht="15">
      <c r="A93" s="250">
        <v>98</v>
      </c>
      <c r="B93" s="284" t="s">
        <v>643</v>
      </c>
    </row>
    <row r="94" spans="1:2" ht="15">
      <c r="A94" s="250">
        <v>99</v>
      </c>
      <c r="B94" s="284" t="s">
        <v>644</v>
      </c>
    </row>
    <row r="95" spans="1:2" ht="15">
      <c r="A95" s="250">
        <v>100</v>
      </c>
      <c r="B95" s="284" t="s">
        <v>645</v>
      </c>
    </row>
    <row r="96" spans="1:2" ht="15">
      <c r="A96" s="250">
        <v>101</v>
      </c>
      <c r="B96" s="284" t="s">
        <v>646</v>
      </c>
    </row>
    <row r="97" spans="1:2" ht="15">
      <c r="A97" s="250">
        <v>102</v>
      </c>
      <c r="B97" s="547" t="s">
        <v>647</v>
      </c>
    </row>
    <row r="98" spans="1:2" ht="15">
      <c r="A98" s="250">
        <v>103</v>
      </c>
      <c r="B98" s="547" t="s">
        <v>648</v>
      </c>
    </row>
    <row r="99" spans="1:2" ht="15">
      <c r="A99" s="250">
        <v>104</v>
      </c>
      <c r="B99" s="547" t="s">
        <v>649</v>
      </c>
    </row>
    <row r="100" spans="1:2" ht="15">
      <c r="A100" s="250">
        <v>105</v>
      </c>
      <c r="B100" s="547" t="s">
        <v>650</v>
      </c>
    </row>
    <row r="101" spans="1:2" ht="15">
      <c r="A101" s="250">
        <v>106</v>
      </c>
      <c r="B101" s="547" t="s">
        <v>651</v>
      </c>
    </row>
    <row r="102" spans="1:2" ht="15">
      <c r="A102" s="250">
        <v>107</v>
      </c>
      <c r="B102" s="547" t="s">
        <v>652</v>
      </c>
    </row>
    <row r="103" spans="1:2" ht="15">
      <c r="A103" s="250">
        <v>108</v>
      </c>
      <c r="B103" s="547" t="s">
        <v>647</v>
      </c>
    </row>
    <row r="104" spans="1:2" ht="15">
      <c r="A104" s="250">
        <v>109</v>
      </c>
      <c r="B104" s="547" t="s">
        <v>653</v>
      </c>
    </row>
    <row r="105" spans="1:2" ht="15">
      <c r="A105" s="250">
        <v>110</v>
      </c>
      <c r="B105" s="547" t="s">
        <v>654</v>
      </c>
    </row>
    <row r="106" spans="1:2" ht="15">
      <c r="A106" s="250">
        <v>111</v>
      </c>
      <c r="B106" s="547" t="s">
        <v>655</v>
      </c>
    </row>
    <row r="107" spans="1:2" ht="15">
      <c r="A107" s="250">
        <v>112</v>
      </c>
      <c r="B107" s="547" t="s">
        <v>656</v>
      </c>
    </row>
    <row r="108" spans="1:2" ht="15">
      <c r="A108" s="250">
        <v>113</v>
      </c>
      <c r="B108" s="284" t="s">
        <v>657</v>
      </c>
    </row>
    <row r="109" spans="1:2" ht="15">
      <c r="A109" s="250">
        <v>114</v>
      </c>
      <c r="B109" s="284" t="s">
        <v>658</v>
      </c>
    </row>
    <row r="110" spans="1:2" ht="15">
      <c r="A110" s="250">
        <v>115</v>
      </c>
      <c r="B110" s="116" t="s">
        <v>659</v>
      </c>
    </row>
    <row r="111" spans="1:2" ht="15">
      <c r="A111" s="250">
        <v>116</v>
      </c>
      <c r="B111" s="116" t="s">
        <v>660</v>
      </c>
    </row>
    <row r="112" spans="1:2" ht="15">
      <c r="A112" s="250">
        <v>117</v>
      </c>
      <c r="B112" s="116" t="s">
        <v>661</v>
      </c>
    </row>
    <row r="113" spans="1:2" ht="15">
      <c r="A113" s="250">
        <v>118</v>
      </c>
      <c r="B113" s="116" t="s">
        <v>662</v>
      </c>
    </row>
    <row r="114" spans="1:2" ht="15">
      <c r="A114" s="250">
        <v>119</v>
      </c>
      <c r="B114" s="116" t="s">
        <v>663</v>
      </c>
    </row>
    <row r="115" spans="1:2" ht="15">
      <c r="A115" s="250">
        <v>120</v>
      </c>
      <c r="B115" s="116" t="s">
        <v>664</v>
      </c>
    </row>
    <row r="116" spans="1:2" ht="15">
      <c r="A116" s="250">
        <v>121</v>
      </c>
      <c r="B116" s="116" t="s">
        <v>665</v>
      </c>
    </row>
    <row r="117" spans="1:2" ht="15">
      <c r="A117" s="250">
        <v>122</v>
      </c>
      <c r="B117" s="116" t="s">
        <v>666</v>
      </c>
    </row>
    <row r="118" spans="1:2" ht="15">
      <c r="A118" s="250">
        <v>123</v>
      </c>
      <c r="B118" s="116" t="s">
        <v>667</v>
      </c>
    </row>
    <row r="119" spans="1:2" ht="15">
      <c r="A119" s="250">
        <v>124</v>
      </c>
      <c r="B119" s="116" t="s">
        <v>668</v>
      </c>
    </row>
    <row r="120" spans="1:2" ht="15">
      <c r="A120" s="250">
        <v>125</v>
      </c>
      <c r="B120" s="116" t="s">
        <v>669</v>
      </c>
    </row>
    <row r="121" spans="1:2" ht="15">
      <c r="A121" s="250">
        <v>126</v>
      </c>
      <c r="B121" s="116" t="s">
        <v>670</v>
      </c>
    </row>
    <row r="122" spans="1:2" ht="15">
      <c r="A122" s="250">
        <v>127</v>
      </c>
      <c r="B122" s="116" t="s">
        <v>671</v>
      </c>
    </row>
    <row r="123" spans="1:2" ht="15">
      <c r="A123" s="250">
        <v>128</v>
      </c>
      <c r="B123" s="116" t="s">
        <v>672</v>
      </c>
    </row>
    <row r="124" spans="1:2" ht="15">
      <c r="A124" s="250">
        <v>129</v>
      </c>
      <c r="B124" s="116" t="s">
        <v>673</v>
      </c>
    </row>
    <row r="125" spans="1:2" ht="15">
      <c r="A125" s="250">
        <v>130</v>
      </c>
      <c r="B125" s="116" t="s">
        <v>674</v>
      </c>
    </row>
    <row r="126" spans="1:2" ht="15">
      <c r="A126" s="250">
        <v>131</v>
      </c>
      <c r="B126" s="116" t="s">
        <v>675</v>
      </c>
    </row>
    <row r="127" spans="1:2" ht="15">
      <c r="A127" s="250">
        <v>132</v>
      </c>
      <c r="B127" s="116" t="s">
        <v>676</v>
      </c>
    </row>
    <row r="128" spans="1:2" ht="15">
      <c r="A128" s="250">
        <v>133</v>
      </c>
      <c r="B128" s="116" t="s">
        <v>677</v>
      </c>
    </row>
    <row r="129" spans="1:2" ht="15">
      <c r="A129" s="250">
        <v>134</v>
      </c>
      <c r="B129" s="116" t="s">
        <v>678</v>
      </c>
    </row>
    <row r="130" spans="1:2" ht="15">
      <c r="A130" s="250">
        <v>135</v>
      </c>
      <c r="B130" s="116" t="s">
        <v>679</v>
      </c>
    </row>
    <row r="131" spans="1:2" ht="15">
      <c r="A131" s="250">
        <v>136</v>
      </c>
      <c r="B131" s="116" t="s">
        <v>680</v>
      </c>
    </row>
    <row r="132" spans="1:2" ht="15">
      <c r="A132" s="250">
        <v>137</v>
      </c>
      <c r="B132" s="116" t="s">
        <v>681</v>
      </c>
    </row>
    <row r="133" spans="1:2" ht="15">
      <c r="A133" s="250">
        <v>138</v>
      </c>
      <c r="B133" s="116" t="s">
        <v>682</v>
      </c>
    </row>
    <row r="134" spans="1:2" ht="15">
      <c r="A134" s="250">
        <v>139</v>
      </c>
      <c r="B134" s="116" t="s">
        <v>683</v>
      </c>
    </row>
    <row r="135" spans="1:2" ht="15">
      <c r="A135" s="250">
        <v>140</v>
      </c>
      <c r="B135" s="116" t="s">
        <v>684</v>
      </c>
    </row>
    <row r="136" spans="1:2" ht="15">
      <c r="A136" s="250">
        <v>141</v>
      </c>
      <c r="B136" s="116" t="s">
        <v>685</v>
      </c>
    </row>
    <row r="137" spans="1:2" ht="15">
      <c r="A137" s="250">
        <v>142</v>
      </c>
      <c r="B137" s="116" t="s">
        <v>686</v>
      </c>
    </row>
    <row r="138" spans="1:2" ht="15">
      <c r="A138" s="250">
        <v>143</v>
      </c>
      <c r="B138" s="119" t="s">
        <v>687</v>
      </c>
    </row>
    <row r="139" spans="1:2" ht="15">
      <c r="A139" s="250">
        <v>144</v>
      </c>
      <c r="B139" s="548" t="s">
        <v>688</v>
      </c>
    </row>
    <row r="140" spans="1:2" ht="15">
      <c r="A140" s="250">
        <v>145</v>
      </c>
      <c r="B140" s="548" t="s">
        <v>689</v>
      </c>
    </row>
    <row r="141" spans="1:2" ht="15">
      <c r="A141" s="250">
        <v>146</v>
      </c>
      <c r="B141" s="548" t="s">
        <v>690</v>
      </c>
    </row>
    <row r="142" spans="1:2" ht="15">
      <c r="A142" s="250">
        <v>147</v>
      </c>
      <c r="B142" s="548" t="s">
        <v>691</v>
      </c>
    </row>
    <row r="143" spans="1:2" ht="15">
      <c r="A143" s="250">
        <v>148</v>
      </c>
      <c r="B143" s="548" t="s">
        <v>692</v>
      </c>
    </row>
    <row r="144" spans="1:2" ht="15">
      <c r="A144" s="250">
        <v>149</v>
      </c>
      <c r="B144" s="548" t="s">
        <v>693</v>
      </c>
    </row>
    <row r="145" spans="1:2" ht="15">
      <c r="A145" s="250">
        <v>150</v>
      </c>
      <c r="B145" s="548" t="s">
        <v>694</v>
      </c>
    </row>
    <row r="146" spans="1:2" ht="15">
      <c r="A146" s="250">
        <v>151</v>
      </c>
      <c r="B146" s="548" t="s">
        <v>695</v>
      </c>
    </row>
    <row r="147" spans="1:2" ht="15">
      <c r="A147" s="250">
        <v>152</v>
      </c>
      <c r="B147" s="548" t="s">
        <v>696</v>
      </c>
    </row>
    <row r="148" spans="1:2" ht="15">
      <c r="A148" s="250">
        <v>153</v>
      </c>
      <c r="B148" s="548" t="s">
        <v>697</v>
      </c>
    </row>
    <row r="149" spans="1:2" ht="15">
      <c r="A149" s="250">
        <v>154</v>
      </c>
      <c r="B149" s="548" t="s">
        <v>698</v>
      </c>
    </row>
    <row r="150" spans="1:2" ht="15">
      <c r="A150" s="250">
        <v>155</v>
      </c>
      <c r="B150" s="548" t="s">
        <v>699</v>
      </c>
    </row>
    <row r="151" spans="1:2" ht="15">
      <c r="A151" s="250">
        <v>156</v>
      </c>
      <c r="B151" s="548" t="s">
        <v>700</v>
      </c>
    </row>
    <row r="152" spans="1:2" ht="15">
      <c r="A152" s="250">
        <v>157</v>
      </c>
      <c r="B152" s="548" t="s">
        <v>701</v>
      </c>
    </row>
    <row r="153" spans="1:2" ht="15">
      <c r="A153" s="250">
        <v>158</v>
      </c>
      <c r="B153" s="548" t="s">
        <v>702</v>
      </c>
    </row>
    <row r="154" spans="1:2" ht="15">
      <c r="A154" s="250">
        <v>159</v>
      </c>
      <c r="B154" s="548" t="s">
        <v>703</v>
      </c>
    </row>
    <row r="155" spans="1:2" ht="15">
      <c r="A155" s="250">
        <v>160</v>
      </c>
      <c r="B155" s="548" t="s">
        <v>704</v>
      </c>
    </row>
    <row r="156" spans="1:2" ht="15">
      <c r="A156" s="250">
        <v>161</v>
      </c>
      <c r="B156" s="548" t="s">
        <v>705</v>
      </c>
    </row>
    <row r="157" spans="1:2" ht="15">
      <c r="A157" s="250">
        <v>162</v>
      </c>
      <c r="B157" s="548" t="s">
        <v>706</v>
      </c>
    </row>
    <row r="158" spans="1:2" ht="15">
      <c r="A158" s="250">
        <v>163</v>
      </c>
      <c r="B158" s="548" t="s">
        <v>707</v>
      </c>
    </row>
    <row r="159" spans="1:2" ht="15">
      <c r="A159" s="250">
        <v>164</v>
      </c>
      <c r="B159" s="548" t="s">
        <v>708</v>
      </c>
    </row>
    <row r="160" spans="1:2" ht="15">
      <c r="A160" s="250">
        <v>165</v>
      </c>
      <c r="B160" s="548" t="s">
        <v>709</v>
      </c>
    </row>
    <row r="161" spans="1:2" ht="15">
      <c r="A161" s="250">
        <v>166</v>
      </c>
      <c r="B161" s="548" t="s">
        <v>710</v>
      </c>
    </row>
    <row r="162" spans="1:2" ht="15">
      <c r="A162" s="250">
        <v>167</v>
      </c>
      <c r="B162" s="548" t="s">
        <v>711</v>
      </c>
    </row>
    <row r="163" spans="1:2" ht="15">
      <c r="A163" s="250">
        <v>168</v>
      </c>
      <c r="B163" s="548" t="s">
        <v>712</v>
      </c>
    </row>
    <row r="164" spans="1:2" ht="15">
      <c r="A164" s="250">
        <v>169</v>
      </c>
      <c r="B164" s="548" t="s">
        <v>713</v>
      </c>
    </row>
    <row r="165" spans="1:2" ht="15">
      <c r="A165" s="250">
        <v>170</v>
      </c>
      <c r="B165" s="548" t="s">
        <v>714</v>
      </c>
    </row>
    <row r="166" spans="1:2" ht="15">
      <c r="A166" s="250">
        <v>171</v>
      </c>
      <c r="B166" s="116" t="s">
        <v>715</v>
      </c>
    </row>
    <row r="167" spans="1:2" ht="15">
      <c r="A167" s="250">
        <v>172</v>
      </c>
      <c r="B167" s="116" t="s">
        <v>716</v>
      </c>
    </row>
    <row r="168" spans="1:2" ht="15">
      <c r="A168" s="250">
        <v>173</v>
      </c>
      <c r="B168" s="116" t="s">
        <v>717</v>
      </c>
    </row>
    <row r="169" spans="1:2" ht="15">
      <c r="A169" s="250">
        <v>174</v>
      </c>
      <c r="B169" s="116" t="s">
        <v>718</v>
      </c>
    </row>
    <row r="170" spans="1:2" ht="15">
      <c r="A170" s="250">
        <v>175</v>
      </c>
      <c r="B170" s="116" t="s">
        <v>719</v>
      </c>
    </row>
    <row r="171" spans="1:2" ht="15">
      <c r="A171" s="250">
        <v>176</v>
      </c>
      <c r="B171" s="116" t="s">
        <v>720</v>
      </c>
    </row>
    <row r="172" spans="1:2" ht="15">
      <c r="A172" s="250">
        <v>177</v>
      </c>
      <c r="B172" s="116" t="s">
        <v>721</v>
      </c>
    </row>
    <row r="173" spans="1:2" ht="15">
      <c r="A173" s="250">
        <v>178</v>
      </c>
      <c r="B173" s="116" t="s">
        <v>722</v>
      </c>
    </row>
    <row r="174" spans="1:2" ht="15">
      <c r="A174" s="250">
        <v>179</v>
      </c>
      <c r="B174" s="116" t="s">
        <v>723</v>
      </c>
    </row>
    <row r="175" spans="1:2" ht="15">
      <c r="A175" s="250">
        <v>180</v>
      </c>
      <c r="B175" s="116" t="s">
        <v>724</v>
      </c>
    </row>
    <row r="176" spans="1:2" ht="15">
      <c r="A176" s="250">
        <v>181</v>
      </c>
      <c r="B176" s="116" t="s">
        <v>725</v>
      </c>
    </row>
    <row r="177" spans="1:2" ht="15">
      <c r="A177" s="250">
        <v>182</v>
      </c>
      <c r="B177" s="116" t="s">
        <v>726</v>
      </c>
    </row>
    <row r="178" spans="1:2" ht="15">
      <c r="A178" s="250">
        <v>183</v>
      </c>
      <c r="B178" s="116" t="s">
        <v>727</v>
      </c>
    </row>
    <row r="179" spans="1:2" ht="15">
      <c r="A179" s="250">
        <v>184</v>
      </c>
      <c r="B179" s="116" t="s">
        <v>728</v>
      </c>
    </row>
    <row r="180" spans="1:2" ht="15">
      <c r="A180" s="250">
        <v>185</v>
      </c>
      <c r="B180" s="116" t="s">
        <v>729</v>
      </c>
    </row>
    <row r="181" spans="1:2" ht="15">
      <c r="A181" s="250">
        <v>186</v>
      </c>
      <c r="B181" s="116" t="s">
        <v>730</v>
      </c>
    </row>
    <row r="182" spans="1:2" ht="15">
      <c r="A182" s="250">
        <v>187</v>
      </c>
      <c r="B182" s="116" t="s">
        <v>731</v>
      </c>
    </row>
    <row r="183" spans="1:2" ht="15">
      <c r="A183" s="250">
        <v>188</v>
      </c>
      <c r="B183" s="116" t="s">
        <v>732</v>
      </c>
    </row>
    <row r="184" spans="1:2" ht="15">
      <c r="A184" s="250">
        <v>189</v>
      </c>
      <c r="B184" s="116" t="s">
        <v>733</v>
      </c>
    </row>
    <row r="185" spans="1:2" ht="15">
      <c r="A185" s="250">
        <v>190</v>
      </c>
      <c r="B185" s="116" t="s">
        <v>734</v>
      </c>
    </row>
    <row r="186" spans="1:2" ht="15">
      <c r="A186" s="250">
        <v>191</v>
      </c>
      <c r="B186" s="116" t="s">
        <v>735</v>
      </c>
    </row>
    <row r="187" spans="1:2" ht="15">
      <c r="A187" s="250">
        <v>192</v>
      </c>
      <c r="B187" s="116" t="s">
        <v>736</v>
      </c>
    </row>
    <row r="188" spans="1:2" ht="15">
      <c r="A188" s="250">
        <v>193</v>
      </c>
      <c r="B188" s="116" t="s">
        <v>737</v>
      </c>
    </row>
    <row r="189" spans="1:2" ht="15">
      <c r="A189" s="250">
        <v>194</v>
      </c>
      <c r="B189" s="116" t="s">
        <v>738</v>
      </c>
    </row>
    <row r="190" spans="1:2" ht="15">
      <c r="A190" s="250">
        <v>195</v>
      </c>
      <c r="B190" s="116" t="s">
        <v>739</v>
      </c>
    </row>
    <row r="191" spans="1:2" ht="15">
      <c r="A191" s="250">
        <v>196</v>
      </c>
      <c r="B191" s="116" t="s">
        <v>740</v>
      </c>
    </row>
    <row r="192" spans="1:2" ht="15">
      <c r="A192" s="250">
        <v>197</v>
      </c>
      <c r="B192" s="116" t="s">
        <v>741</v>
      </c>
    </row>
    <row r="193" spans="1:2" ht="15">
      <c r="A193" s="250">
        <v>198</v>
      </c>
      <c r="B193" s="116" t="s">
        <v>742</v>
      </c>
    </row>
    <row r="194" spans="1:2" ht="15">
      <c r="A194" s="250">
        <v>199</v>
      </c>
      <c r="B194" s="116" t="s">
        <v>743</v>
      </c>
    </row>
    <row r="195" spans="1:2" ht="15">
      <c r="A195" s="250">
        <v>200</v>
      </c>
      <c r="B195" s="116" t="s">
        <v>744</v>
      </c>
    </row>
    <row r="196" spans="1:2" ht="15">
      <c r="A196" s="250">
        <v>201</v>
      </c>
      <c r="B196" s="116" t="s">
        <v>745</v>
      </c>
    </row>
    <row r="197" spans="1:2" ht="15">
      <c r="A197" s="250">
        <v>202</v>
      </c>
      <c r="B197" s="116" t="s">
        <v>746</v>
      </c>
    </row>
    <row r="198" spans="1:2" ht="15">
      <c r="A198" s="250">
        <v>203</v>
      </c>
      <c r="B198" s="116" t="s">
        <v>747</v>
      </c>
    </row>
    <row r="199" spans="1:2" ht="15">
      <c r="A199" s="250">
        <v>204</v>
      </c>
      <c r="B199" s="116" t="s">
        <v>748</v>
      </c>
    </row>
    <row r="200" spans="1:2" ht="15">
      <c r="A200" s="250">
        <v>205</v>
      </c>
      <c r="B200" s="116" t="s">
        <v>749</v>
      </c>
    </row>
    <row r="201" spans="1:2" ht="15">
      <c r="A201" s="250">
        <v>206</v>
      </c>
      <c r="B201" s="116" t="s">
        <v>750</v>
      </c>
    </row>
    <row r="202" spans="1:2" ht="15">
      <c r="A202" s="250">
        <v>207</v>
      </c>
      <c r="B202" s="116" t="s">
        <v>751</v>
      </c>
    </row>
    <row r="203" spans="1:2" ht="15">
      <c r="A203" s="250">
        <v>208</v>
      </c>
      <c r="B203" s="116" t="s">
        <v>752</v>
      </c>
    </row>
    <row r="204" spans="1:2" ht="15">
      <c r="A204" s="250">
        <v>209</v>
      </c>
      <c r="B204" s="116" t="s">
        <v>753</v>
      </c>
    </row>
    <row r="205" spans="1:2" ht="15">
      <c r="A205" s="250">
        <v>210</v>
      </c>
      <c r="B205" s="116" t="s">
        <v>754</v>
      </c>
    </row>
    <row r="206" spans="1:2" ht="15">
      <c r="A206" s="250">
        <v>211</v>
      </c>
      <c r="B206" s="116" t="s">
        <v>755</v>
      </c>
    </row>
    <row r="207" spans="1:2" ht="15">
      <c r="A207" s="250">
        <v>212</v>
      </c>
      <c r="B207" s="116" t="s">
        <v>756</v>
      </c>
    </row>
    <row r="208" spans="1:2" ht="15">
      <c r="A208" s="250">
        <v>213</v>
      </c>
      <c r="B208" s="116" t="s">
        <v>757</v>
      </c>
    </row>
    <row r="209" spans="1:2" ht="15">
      <c r="A209" s="250">
        <v>214</v>
      </c>
      <c r="B209" s="116" t="s">
        <v>758</v>
      </c>
    </row>
    <row r="210" spans="1:2" ht="15">
      <c r="A210" s="250">
        <v>215</v>
      </c>
      <c r="B210" s="116" t="s">
        <v>759</v>
      </c>
    </row>
    <row r="211" spans="1:2" ht="15">
      <c r="A211" s="250">
        <v>216</v>
      </c>
      <c r="B211" s="116" t="s">
        <v>760</v>
      </c>
    </row>
    <row r="212" spans="1:2" ht="15">
      <c r="A212" s="250">
        <v>217</v>
      </c>
      <c r="B212" s="116" t="s">
        <v>761</v>
      </c>
    </row>
    <row r="213" spans="1:2" ht="15">
      <c r="A213" s="250">
        <v>218</v>
      </c>
      <c r="B213" s="116" t="s">
        <v>762</v>
      </c>
    </row>
    <row r="214" spans="1:2" ht="15">
      <c r="A214" s="250">
        <v>219</v>
      </c>
      <c r="B214" s="116" t="s">
        <v>763</v>
      </c>
    </row>
    <row r="215" spans="1:2" ht="15">
      <c r="A215" s="250">
        <v>220</v>
      </c>
      <c r="B215" s="116" t="s">
        <v>764</v>
      </c>
    </row>
    <row r="216" spans="1:2" ht="15">
      <c r="A216" s="250">
        <v>221</v>
      </c>
      <c r="B216" s="116" t="s">
        <v>765</v>
      </c>
    </row>
    <row r="217" spans="1:2" ht="15">
      <c r="A217" s="250">
        <v>222</v>
      </c>
      <c r="B217" s="116" t="s">
        <v>766</v>
      </c>
    </row>
    <row r="218" spans="1:2" ht="15">
      <c r="A218" s="250">
        <v>223</v>
      </c>
      <c r="B218" s="549" t="s">
        <v>767</v>
      </c>
    </row>
    <row r="219" spans="1:2" ht="15">
      <c r="A219" s="250">
        <v>224</v>
      </c>
      <c r="B219" s="549" t="s">
        <v>768</v>
      </c>
    </row>
    <row r="220" spans="1:2" ht="15">
      <c r="A220" s="250">
        <v>225</v>
      </c>
      <c r="B220" s="549" t="s">
        <v>769</v>
      </c>
    </row>
    <row r="221" spans="1:2" ht="15">
      <c r="A221" s="250">
        <v>226</v>
      </c>
      <c r="B221" s="549" t="s">
        <v>770</v>
      </c>
    </row>
    <row r="222" spans="1:2" ht="15">
      <c r="A222" s="250">
        <v>227</v>
      </c>
      <c r="B222" s="549" t="s">
        <v>771</v>
      </c>
    </row>
    <row r="223" spans="1:2" ht="15.75" thickBot="1">
      <c r="A223" s="250">
        <v>228</v>
      </c>
      <c r="B223" s="549" t="s">
        <v>772</v>
      </c>
    </row>
    <row r="224" spans="1:2" ht="16.5" thickBot="1" thickTop="1">
      <c r="A224" s="250">
        <v>229</v>
      </c>
      <c r="B224" s="618" t="s">
        <v>773</v>
      </c>
    </row>
    <row r="225" spans="1:2" ht="15.75" thickBot="1">
      <c r="A225" s="250">
        <v>230</v>
      </c>
      <c r="B225" s="619" t="s">
        <v>774</v>
      </c>
    </row>
    <row r="226" spans="1:2" ht="15.75" thickBot="1">
      <c r="A226" s="250">
        <v>231</v>
      </c>
      <c r="B226" s="619" t="s">
        <v>775</v>
      </c>
    </row>
    <row r="227" spans="1:2" ht="15.75" thickBot="1">
      <c r="A227" s="250">
        <v>232</v>
      </c>
      <c r="B227" s="619" t="s">
        <v>776</v>
      </c>
    </row>
    <row r="228" spans="1:2" ht="15.75" thickBot="1">
      <c r="A228" s="250">
        <v>233</v>
      </c>
      <c r="B228" s="619" t="s">
        <v>777</v>
      </c>
    </row>
    <row r="229" spans="1:2" ht="15.75" thickBot="1">
      <c r="A229" s="250">
        <v>234</v>
      </c>
      <c r="B229" s="619" t="s">
        <v>778</v>
      </c>
    </row>
    <row r="230" spans="1:2" ht="15.75" thickBot="1">
      <c r="A230" s="250">
        <v>235</v>
      </c>
      <c r="B230" s="619" t="s">
        <v>779</v>
      </c>
    </row>
    <row r="231" spans="1:2" ht="15.75" thickBot="1">
      <c r="A231" s="250">
        <v>236</v>
      </c>
      <c r="B231" s="619" t="s">
        <v>780</v>
      </c>
    </row>
    <row r="232" spans="1:2" ht="15.75" thickBot="1">
      <c r="A232" s="250">
        <v>237</v>
      </c>
      <c r="B232" s="619" t="s">
        <v>781</v>
      </c>
    </row>
    <row r="233" spans="1:2" ht="15.75" thickBot="1">
      <c r="A233" s="250">
        <v>238</v>
      </c>
      <c r="B233" s="619" t="s">
        <v>782</v>
      </c>
    </row>
    <row r="234" spans="1:2" ht="15.75" thickBot="1">
      <c r="A234" s="250">
        <v>239</v>
      </c>
      <c r="B234" s="619" t="s">
        <v>783</v>
      </c>
    </row>
    <row r="235" spans="1:2" ht="15.75" thickBot="1">
      <c r="A235" s="250">
        <v>240</v>
      </c>
      <c r="B235" s="619" t="s">
        <v>784</v>
      </c>
    </row>
    <row r="236" spans="1:2" ht="15.75" thickBot="1">
      <c r="A236" s="250">
        <v>241</v>
      </c>
      <c r="B236" s="619" t="s">
        <v>785</v>
      </c>
    </row>
    <row r="237" spans="1:2" ht="15.75" thickBot="1">
      <c r="A237" s="250">
        <v>242</v>
      </c>
      <c r="B237" s="619" t="s">
        <v>786</v>
      </c>
    </row>
    <row r="238" spans="1:2" ht="15.75" thickBot="1">
      <c r="A238" s="250">
        <v>243</v>
      </c>
      <c r="B238" s="619" t="s">
        <v>787</v>
      </c>
    </row>
    <row r="239" spans="1:2" ht="15.75" thickBot="1">
      <c r="A239" s="250">
        <v>244</v>
      </c>
      <c r="B239" s="619" t="s">
        <v>788</v>
      </c>
    </row>
    <row r="240" spans="1:2" ht="15.75" thickBot="1">
      <c r="A240" s="250">
        <v>245</v>
      </c>
      <c r="B240" s="619" t="s">
        <v>789</v>
      </c>
    </row>
    <row r="241" spans="1:2" ht="15.75" thickBot="1">
      <c r="A241" s="250">
        <v>246</v>
      </c>
      <c r="B241" s="619" t="s">
        <v>790</v>
      </c>
    </row>
    <row r="242" spans="1:2" ht="15.75" thickBot="1">
      <c r="A242" s="250">
        <v>247</v>
      </c>
      <c r="B242" s="619" t="s">
        <v>791</v>
      </c>
    </row>
    <row r="243" spans="1:2" ht="15.75" thickBot="1">
      <c r="A243" s="250">
        <v>248</v>
      </c>
      <c r="B243" s="619" t="s">
        <v>792</v>
      </c>
    </row>
    <row r="244" spans="1:2" ht="15.75" thickBot="1">
      <c r="A244" s="250">
        <v>249</v>
      </c>
      <c r="B244" s="619" t="s">
        <v>793</v>
      </c>
    </row>
    <row r="245" spans="1:2" ht="15.75" thickBot="1">
      <c r="A245" s="250">
        <v>250</v>
      </c>
      <c r="B245" s="619" t="s">
        <v>794</v>
      </c>
    </row>
    <row r="246" spans="1:2" ht="15.75" thickBot="1">
      <c r="A246" s="250">
        <v>251</v>
      </c>
      <c r="B246" s="619" t="s">
        <v>795</v>
      </c>
    </row>
    <row r="247" spans="1:2" ht="15.75" thickBot="1">
      <c r="A247" s="250">
        <v>252</v>
      </c>
      <c r="B247" s="619" t="s">
        <v>796</v>
      </c>
    </row>
    <row r="248" spans="1:2" ht="15.75" thickBot="1">
      <c r="A248" s="250">
        <v>253</v>
      </c>
      <c r="B248" s="619" t="s">
        <v>797</v>
      </c>
    </row>
    <row r="249" spans="1:2" ht="15.75" thickBot="1">
      <c r="A249" s="250">
        <v>254</v>
      </c>
      <c r="B249" s="619" t="s">
        <v>798</v>
      </c>
    </row>
    <row r="250" spans="1:2" ht="15.75" thickBot="1">
      <c r="A250" s="250">
        <v>255</v>
      </c>
      <c r="B250" s="620" t="s">
        <v>799</v>
      </c>
    </row>
    <row r="251" spans="1:2" ht="15.75" thickBot="1">
      <c r="A251" s="250">
        <v>256</v>
      </c>
      <c r="B251" s="619" t="s">
        <v>800</v>
      </c>
    </row>
    <row r="252" spans="1:2" ht="15.75" thickBot="1">
      <c r="A252" s="250">
        <v>257</v>
      </c>
      <c r="B252" s="619" t="s">
        <v>801</v>
      </c>
    </row>
    <row r="253" spans="1:2" ht="15.75" thickBot="1">
      <c r="A253" s="250">
        <v>258</v>
      </c>
      <c r="B253" s="619" t="s">
        <v>802</v>
      </c>
    </row>
    <row r="254" spans="1:2" ht="15.75" thickBot="1">
      <c r="A254" s="250">
        <v>259</v>
      </c>
      <c r="B254" s="619" t="s">
        <v>803</v>
      </c>
    </row>
    <row r="255" spans="1:2" ht="15.75" thickBot="1">
      <c r="A255" s="250">
        <v>260</v>
      </c>
      <c r="B255" s="619" t="s">
        <v>804</v>
      </c>
    </row>
    <row r="256" spans="1:2" ht="15.75" thickBot="1">
      <c r="A256" s="250">
        <v>261</v>
      </c>
      <c r="B256" s="619" t="s">
        <v>805</v>
      </c>
    </row>
    <row r="257" spans="1:2" ht="15.75" thickBot="1">
      <c r="A257" s="250">
        <v>262</v>
      </c>
      <c r="B257" s="619" t="s">
        <v>806</v>
      </c>
    </row>
    <row r="258" spans="1:2" ht="15.75" thickBot="1">
      <c r="A258" s="250">
        <v>263</v>
      </c>
      <c r="B258" s="619" t="s">
        <v>807</v>
      </c>
    </row>
    <row r="259" spans="1:2" ht="15.75" thickBot="1">
      <c r="A259" s="250">
        <v>264</v>
      </c>
      <c r="B259" s="619" t="s">
        <v>808</v>
      </c>
    </row>
    <row r="260" spans="1:2" ht="15.75" thickBot="1">
      <c r="A260" s="250">
        <v>265</v>
      </c>
      <c r="B260" s="619" t="s">
        <v>809</v>
      </c>
    </row>
    <row r="261" spans="1:2" ht="15.75" thickBot="1">
      <c r="A261" s="250">
        <v>266</v>
      </c>
      <c r="B261" s="619" t="s">
        <v>810</v>
      </c>
    </row>
    <row r="262" spans="1:2" ht="15.75" thickBot="1">
      <c r="A262" s="250">
        <v>267</v>
      </c>
      <c r="B262" s="619" t="s">
        <v>811</v>
      </c>
    </row>
    <row r="263" spans="1:2" ht="15.75" thickBot="1">
      <c r="A263" s="250">
        <v>268</v>
      </c>
      <c r="B263" s="620" t="s">
        <v>812</v>
      </c>
    </row>
    <row r="264" spans="1:2" ht="15.75" thickBot="1">
      <c r="A264" s="250">
        <v>269</v>
      </c>
      <c r="B264" s="619" t="s">
        <v>813</v>
      </c>
    </row>
    <row r="265" spans="1:2" ht="15.75" thickBot="1">
      <c r="A265" s="250">
        <v>270</v>
      </c>
      <c r="B265" s="619" t="s">
        <v>814</v>
      </c>
    </row>
    <row r="266" spans="1:2" ht="15.75" thickBot="1">
      <c r="A266" s="250">
        <v>271</v>
      </c>
      <c r="B266" s="619" t="s">
        <v>815</v>
      </c>
    </row>
    <row r="267" spans="1:2" ht="15.75" thickBot="1">
      <c r="A267" s="250">
        <v>272</v>
      </c>
      <c r="B267" s="619" t="s">
        <v>816</v>
      </c>
    </row>
    <row r="268" spans="1:2" ht="15.75" thickBot="1">
      <c r="A268" s="250">
        <v>273</v>
      </c>
      <c r="B268" s="619" t="s">
        <v>817</v>
      </c>
    </row>
    <row r="269" spans="1:2" ht="15.75" thickBot="1">
      <c r="A269" s="250">
        <v>274</v>
      </c>
      <c r="B269" s="619" t="s">
        <v>818</v>
      </c>
    </row>
    <row r="270" spans="1:2" ht="15.75" thickBot="1">
      <c r="A270" s="250">
        <v>275</v>
      </c>
      <c r="B270" s="619" t="s">
        <v>819</v>
      </c>
    </row>
    <row r="271" spans="1:2" ht="15.75" thickBot="1">
      <c r="A271" s="250">
        <v>276</v>
      </c>
      <c r="B271" s="619" t="s">
        <v>820</v>
      </c>
    </row>
    <row r="272" spans="1:2" ht="15.75" thickBot="1">
      <c r="A272" s="250">
        <v>277</v>
      </c>
      <c r="B272" s="619" t="s">
        <v>821</v>
      </c>
    </row>
    <row r="273" spans="1:2" ht="15.75" thickBot="1">
      <c r="A273" s="250">
        <v>278</v>
      </c>
      <c r="B273" s="621" t="s">
        <v>822</v>
      </c>
    </row>
    <row r="274" spans="1:2" ht="15.75" thickBot="1">
      <c r="A274" s="250">
        <v>279</v>
      </c>
      <c r="B274" s="619" t="s">
        <v>823</v>
      </c>
    </row>
    <row r="275" spans="1:2" ht="15.75" thickBot="1">
      <c r="A275" s="250">
        <v>280</v>
      </c>
      <c r="B275" s="622" t="s">
        <v>824</v>
      </c>
    </row>
    <row r="276" spans="1:2" ht="15.75" thickBot="1">
      <c r="A276" s="250">
        <v>281</v>
      </c>
      <c r="B276" s="550" t="s">
        <v>825</v>
      </c>
    </row>
    <row r="277" spans="1:2" ht="15.75" thickBot="1">
      <c r="A277" s="250">
        <v>282</v>
      </c>
      <c r="B277" s="252" t="s">
        <v>826</v>
      </c>
    </row>
    <row r="278" spans="1:2" ht="15.75" thickBot="1">
      <c r="A278" s="250">
        <v>283</v>
      </c>
      <c r="B278" s="252" t="s">
        <v>827</v>
      </c>
    </row>
    <row r="279" spans="1:2" ht="15">
      <c r="A279" s="250">
        <v>284</v>
      </c>
      <c r="B279" s="253" t="s">
        <v>828</v>
      </c>
    </row>
    <row r="280" spans="1:2" ht="15">
      <c r="A280" s="250">
        <v>285</v>
      </c>
      <c r="B280" s="254" t="s">
        <v>829</v>
      </c>
    </row>
    <row r="281" spans="1:2" ht="18.75" thickBot="1">
      <c r="A281" s="250">
        <v>287</v>
      </c>
      <c r="B281" s="551" t="s">
        <v>830</v>
      </c>
    </row>
    <row r="282" spans="1:2" ht="15">
      <c r="A282" s="250">
        <v>288</v>
      </c>
      <c r="B282" s="552" t="s">
        <v>831</v>
      </c>
    </row>
    <row r="283" spans="1:2" ht="15.75" thickBot="1">
      <c r="A283" s="250">
        <v>289</v>
      </c>
      <c r="B283" s="553" t="s">
        <v>832</v>
      </c>
    </row>
    <row r="284" spans="1:2" ht="15.75" thickBot="1">
      <c r="A284" s="250">
        <v>290</v>
      </c>
      <c r="B284" s="554" t="s">
        <v>833</v>
      </c>
    </row>
    <row r="285" spans="1:2" ht="15">
      <c r="A285" s="250">
        <v>291</v>
      </c>
      <c r="B285" s="552" t="s">
        <v>834</v>
      </c>
    </row>
    <row r="286" spans="1:2" ht="15.75" thickBot="1">
      <c r="A286" s="250">
        <v>292</v>
      </c>
      <c r="B286" s="553" t="s">
        <v>835</v>
      </c>
    </row>
    <row r="287" spans="1:2" ht="25.5">
      <c r="A287" s="250">
        <v>293</v>
      </c>
      <c r="B287" s="255" t="s">
        <v>836</v>
      </c>
    </row>
    <row r="288" spans="1:2" ht="15">
      <c r="A288" s="250">
        <v>294</v>
      </c>
      <c r="B288" s="256" t="s">
        <v>837</v>
      </c>
    </row>
    <row r="289" spans="1:2" ht="26.25" thickBot="1">
      <c r="A289" s="250">
        <v>295</v>
      </c>
      <c r="B289" s="256" t="s">
        <v>838</v>
      </c>
    </row>
    <row r="290" spans="1:2" ht="15.75" thickBot="1">
      <c r="A290" s="250">
        <v>296</v>
      </c>
      <c r="B290" s="252" t="s">
        <v>839</v>
      </c>
    </row>
    <row r="291" spans="1:2" ht="15.75" thickBot="1">
      <c r="A291" s="250">
        <v>297</v>
      </c>
      <c r="B291" s="252" t="s">
        <v>840</v>
      </c>
    </row>
    <row r="292" spans="1:2" ht="18">
      <c r="A292" s="250">
        <v>298</v>
      </c>
      <c r="B292" s="257" t="s">
        <v>841</v>
      </c>
    </row>
    <row r="293" spans="1:2" ht="15.75">
      <c r="A293" s="250">
        <v>299</v>
      </c>
      <c r="B293" s="247" t="s">
        <v>842</v>
      </c>
    </row>
    <row r="294" spans="1:2" ht="15">
      <c r="A294" s="250">
        <v>301</v>
      </c>
      <c r="B294" s="542" t="s">
        <v>843</v>
      </c>
    </row>
    <row r="295" spans="1:2" ht="15.75">
      <c r="A295" s="250">
        <v>308</v>
      </c>
      <c r="B295" s="247" t="s">
        <v>844</v>
      </c>
    </row>
    <row r="296" spans="1:2" ht="63.75">
      <c r="A296" s="250">
        <v>311</v>
      </c>
      <c r="B296" s="239" t="s">
        <v>845</v>
      </c>
    </row>
    <row r="297" spans="1:2" ht="63.75">
      <c r="A297" s="250">
        <v>312</v>
      </c>
      <c r="B297" s="239" t="s">
        <v>846</v>
      </c>
    </row>
    <row r="298" spans="1:2" ht="51">
      <c r="A298" s="250">
        <v>313</v>
      </c>
      <c r="B298" s="239" t="s">
        <v>847</v>
      </c>
    </row>
    <row r="299" spans="1:2" ht="15">
      <c r="A299" s="250">
        <v>314</v>
      </c>
      <c r="B299" s="239" t="s">
        <v>848</v>
      </c>
    </row>
    <row r="300" spans="1:2" ht="15">
      <c r="A300" s="597">
        <v>315</v>
      </c>
      <c r="B300" s="239" t="s">
        <v>849</v>
      </c>
    </row>
    <row r="301" spans="1:2" ht="15">
      <c r="A301" s="250">
        <v>316</v>
      </c>
      <c r="B301" s="241" t="s">
        <v>850</v>
      </c>
    </row>
    <row r="302" spans="1:2" ht="26.25" customHeight="1">
      <c r="A302" s="250">
        <v>317</v>
      </c>
      <c r="B302" s="241" t="s">
        <v>851</v>
      </c>
    </row>
    <row r="303" spans="1:2" ht="15">
      <c r="A303" s="250">
        <v>320</v>
      </c>
      <c r="B303" s="185" t="s">
        <v>852</v>
      </c>
    </row>
    <row r="304" spans="1:2" ht="31.5" customHeight="1">
      <c r="A304" s="250">
        <v>321</v>
      </c>
      <c r="B304" s="237" t="s">
        <v>853</v>
      </c>
    </row>
    <row r="305" spans="1:2" ht="15">
      <c r="A305" s="250">
        <v>322</v>
      </c>
      <c r="B305" s="258" t="s">
        <v>854</v>
      </c>
    </row>
    <row r="306" spans="1:2" ht="15">
      <c r="A306" s="250">
        <v>323</v>
      </c>
      <c r="B306" s="245" t="s">
        <v>855</v>
      </c>
    </row>
    <row r="307" spans="1:2" ht="15">
      <c r="A307" s="250">
        <v>324</v>
      </c>
      <c r="B307" s="259" t="s">
        <v>856</v>
      </c>
    </row>
    <row r="308" spans="1:2" ht="15">
      <c r="A308" s="250">
        <v>325</v>
      </c>
      <c r="B308" s="260" t="s">
        <v>857</v>
      </c>
    </row>
    <row r="309" spans="1:2" ht="15">
      <c r="A309" s="250">
        <v>326</v>
      </c>
      <c r="B309" s="259" t="s">
        <v>858</v>
      </c>
    </row>
    <row r="310" spans="1:2" ht="25.5">
      <c r="A310" s="250">
        <v>327</v>
      </c>
      <c r="B310" s="259" t="s">
        <v>859</v>
      </c>
    </row>
    <row r="311" spans="1:2" ht="15">
      <c r="A311" s="250">
        <v>328</v>
      </c>
      <c r="B311" s="261" t="s">
        <v>860</v>
      </c>
    </row>
    <row r="312" spans="1:2" ht="25.5">
      <c r="A312" s="250">
        <v>329</v>
      </c>
      <c r="B312" s="261" t="s">
        <v>861</v>
      </c>
    </row>
    <row r="313" spans="1:2" ht="25.5">
      <c r="A313" s="250">
        <v>330</v>
      </c>
      <c r="B313" s="259" t="s">
        <v>862</v>
      </c>
    </row>
    <row r="314" spans="1:2" ht="25.5">
      <c r="A314" s="597">
        <v>331</v>
      </c>
      <c r="B314" s="259" t="s">
        <v>863</v>
      </c>
    </row>
    <row r="315" spans="1:2" ht="15">
      <c r="A315" s="250">
        <v>332</v>
      </c>
      <c r="B315" s="259" t="s">
        <v>864</v>
      </c>
    </row>
    <row r="316" spans="1:2" ht="76.5">
      <c r="A316" s="250">
        <v>333</v>
      </c>
      <c r="B316" s="239" t="s">
        <v>865</v>
      </c>
    </row>
    <row r="317" spans="1:2" ht="63.75">
      <c r="A317" s="250">
        <v>334</v>
      </c>
      <c r="B317" s="239" t="s">
        <v>866</v>
      </c>
    </row>
    <row r="318" spans="1:2" ht="76.5">
      <c r="A318" s="250">
        <v>335</v>
      </c>
      <c r="B318" s="623" t="s">
        <v>867</v>
      </c>
    </row>
    <row r="319" spans="1:2" ht="59.25" customHeight="1" thickBot="1">
      <c r="A319" s="250">
        <v>336</v>
      </c>
      <c r="B319" s="239" t="s">
        <v>868</v>
      </c>
    </row>
    <row r="320" spans="1:2" ht="102.75" thickBot="1">
      <c r="A320" s="250">
        <v>337</v>
      </c>
      <c r="B320" s="236" t="s">
        <v>1150</v>
      </c>
    </row>
    <row r="321" spans="1:2" ht="15.75">
      <c r="A321" s="250">
        <v>338</v>
      </c>
      <c r="B321" s="247" t="s">
        <v>869</v>
      </c>
    </row>
    <row r="322" spans="1:2" ht="15">
      <c r="A322" s="250">
        <v>339</v>
      </c>
      <c r="B322" s="238" t="s">
        <v>870</v>
      </c>
    </row>
    <row r="323" spans="1:2" ht="61.5" customHeight="1">
      <c r="A323" s="250">
        <v>340</v>
      </c>
      <c r="B323" s="624" t="s">
        <v>1151</v>
      </c>
    </row>
    <row r="324" spans="1:2" ht="15.75">
      <c r="A324" s="250">
        <v>341</v>
      </c>
      <c r="B324" s="240" t="s">
        <v>871</v>
      </c>
    </row>
    <row r="325" spans="1:2" ht="15">
      <c r="A325" s="250">
        <v>342</v>
      </c>
      <c r="B325" s="245" t="s">
        <v>872</v>
      </c>
    </row>
    <row r="326" spans="1:2" ht="15">
      <c r="A326" s="250">
        <v>343</v>
      </c>
      <c r="B326" s="238" t="s">
        <v>873</v>
      </c>
    </row>
    <row r="327" spans="1:2" ht="15">
      <c r="A327" s="250">
        <v>344</v>
      </c>
      <c r="B327" s="246" t="s">
        <v>874</v>
      </c>
    </row>
    <row r="328" spans="1:2" ht="15">
      <c r="A328" s="250">
        <v>345</v>
      </c>
      <c r="B328" s="238" t="s">
        <v>875</v>
      </c>
    </row>
    <row r="329" spans="1:2" ht="15">
      <c r="A329" s="250">
        <v>346</v>
      </c>
      <c r="B329" s="246" t="s">
        <v>74</v>
      </c>
    </row>
    <row r="330" spans="1:2" ht="15">
      <c r="A330" s="250">
        <v>347</v>
      </c>
      <c r="B330" s="245" t="s">
        <v>876</v>
      </c>
    </row>
    <row r="331" spans="1:2" ht="15">
      <c r="A331" s="250">
        <v>348</v>
      </c>
      <c r="B331" t="s">
        <v>1154</v>
      </c>
    </row>
    <row r="332" spans="1:2" ht="15">
      <c r="A332" s="250">
        <v>349</v>
      </c>
      <c r="B332" s="625" t="s">
        <v>877</v>
      </c>
    </row>
    <row r="333" spans="1:2" ht="15">
      <c r="A333" s="250">
        <v>350</v>
      </c>
      <c r="B333" t="s">
        <v>1154</v>
      </c>
    </row>
    <row r="334" spans="1:2" ht="15.75">
      <c r="A334" s="250">
        <v>351</v>
      </c>
      <c r="B334" s="240" t="s">
        <v>878</v>
      </c>
    </row>
    <row r="335" spans="1:2" ht="15.75" thickBot="1">
      <c r="A335" s="250">
        <v>352</v>
      </c>
      <c r="B335" s="555" t="s">
        <v>879</v>
      </c>
    </row>
    <row r="336" spans="1:2" ht="26.25" thickBot="1">
      <c r="A336" s="250">
        <v>353</v>
      </c>
      <c r="B336" s="262" t="s">
        <v>880</v>
      </c>
    </row>
    <row r="337" spans="1:2" ht="15">
      <c r="A337" s="250">
        <v>354</v>
      </c>
      <c r="B337" s="263" t="s">
        <v>881</v>
      </c>
    </row>
    <row r="338" spans="1:2" ht="15">
      <c r="A338" s="250">
        <v>358</v>
      </c>
      <c r="B338" s="265" t="s">
        <v>882</v>
      </c>
    </row>
    <row r="339" spans="1:2" ht="15">
      <c r="A339" s="250">
        <v>361</v>
      </c>
      <c r="B339" s="266" t="s">
        <v>883</v>
      </c>
    </row>
    <row r="340" spans="1:2" ht="15.75">
      <c r="A340" s="250">
        <v>363</v>
      </c>
      <c r="B340" s="247" t="s">
        <v>881</v>
      </c>
    </row>
    <row r="341" spans="1:2" ht="15">
      <c r="A341" s="250">
        <v>364</v>
      </c>
      <c r="B341" s="267" t="s">
        <v>884</v>
      </c>
    </row>
    <row r="342" spans="1:2" ht="15">
      <c r="A342" s="250">
        <v>365</v>
      </c>
      <c r="B342" s="245" t="s">
        <v>885</v>
      </c>
    </row>
    <row r="343" spans="1:2" ht="15">
      <c r="A343" s="597">
        <v>366</v>
      </c>
      <c r="B343" s="242" t="s">
        <v>886</v>
      </c>
    </row>
    <row r="344" spans="1:2" ht="15">
      <c r="A344" s="250">
        <v>367</v>
      </c>
      <c r="B344" s="245" t="s">
        <v>887</v>
      </c>
    </row>
    <row r="345" spans="1:2" ht="15">
      <c r="A345" s="250">
        <v>369</v>
      </c>
      <c r="B345" s="245" t="s">
        <v>888</v>
      </c>
    </row>
    <row r="346" spans="1:2" ht="15">
      <c r="A346" s="250">
        <v>370</v>
      </c>
      <c r="B346" s="245" t="s">
        <v>889</v>
      </c>
    </row>
    <row r="347" spans="1:2" ht="22.5">
      <c r="A347" s="250">
        <v>373</v>
      </c>
      <c r="B347" s="242" t="s">
        <v>890</v>
      </c>
    </row>
    <row r="348" spans="1:2" ht="15">
      <c r="A348" s="597">
        <v>374</v>
      </c>
      <c r="B348" s="245" t="s">
        <v>891</v>
      </c>
    </row>
    <row r="349" spans="1:2" ht="15">
      <c r="A349" s="597">
        <v>375</v>
      </c>
      <c r="B349" s="242" t="s">
        <v>892</v>
      </c>
    </row>
    <row r="350" spans="1:2" ht="15">
      <c r="A350" s="250">
        <v>377</v>
      </c>
      <c r="B350" s="245" t="s">
        <v>893</v>
      </c>
    </row>
    <row r="351" spans="1:2" ht="15">
      <c r="A351" s="250">
        <v>378</v>
      </c>
      <c r="B351" s="255" t="s">
        <v>894</v>
      </c>
    </row>
    <row r="352" spans="1:2" ht="22.5">
      <c r="A352" s="250">
        <v>379</v>
      </c>
      <c r="B352" s="242" t="s">
        <v>1152</v>
      </c>
    </row>
    <row r="353" spans="1:2" ht="15">
      <c r="A353" s="250">
        <v>380</v>
      </c>
      <c r="B353" s="242">
        <v>0</v>
      </c>
    </row>
    <row r="354" spans="1:2" ht="15">
      <c r="A354" s="250">
        <v>381</v>
      </c>
      <c r="B354" s="268" t="s">
        <v>895</v>
      </c>
    </row>
    <row r="355" spans="1:2" ht="25.5">
      <c r="A355" s="250">
        <v>382</v>
      </c>
      <c r="B355" s="248" t="s">
        <v>896</v>
      </c>
    </row>
    <row r="356" spans="1:2" ht="15">
      <c r="A356" s="250">
        <v>383</v>
      </c>
      <c r="B356" s="269" t="s">
        <v>897</v>
      </c>
    </row>
    <row r="357" spans="1:2" ht="15">
      <c r="A357" s="250">
        <v>384</v>
      </c>
      <c r="B357" s="270" t="s">
        <v>898</v>
      </c>
    </row>
    <row r="358" spans="1:2" ht="15">
      <c r="A358" s="250">
        <v>398</v>
      </c>
      <c r="B358" s="245" t="s">
        <v>899</v>
      </c>
    </row>
    <row r="359" spans="1:2" ht="33.75">
      <c r="A359" s="250">
        <v>399</v>
      </c>
      <c r="B359" s="242" t="s">
        <v>900</v>
      </c>
    </row>
    <row r="360" spans="1:2" ht="15">
      <c r="A360" s="250">
        <v>400</v>
      </c>
      <c r="B360" s="269" t="s">
        <v>901</v>
      </c>
    </row>
    <row r="361" spans="1:2" ht="15">
      <c r="A361" s="250">
        <v>401</v>
      </c>
      <c r="B361" s="271" t="s">
        <v>902</v>
      </c>
    </row>
    <row r="362" spans="1:2" ht="15">
      <c r="A362" s="250">
        <v>402</v>
      </c>
      <c r="B362" s="271" t="s">
        <v>903</v>
      </c>
    </row>
    <row r="363" spans="1:2" ht="15">
      <c r="A363" s="250">
        <v>403</v>
      </c>
      <c r="B363" s="271" t="s">
        <v>904</v>
      </c>
    </row>
    <row r="364" spans="1:2" ht="15">
      <c r="A364" s="250">
        <v>404</v>
      </c>
      <c r="B364" s="271" t="s">
        <v>905</v>
      </c>
    </row>
    <row r="365" spans="1:2" ht="15">
      <c r="A365" s="250">
        <v>405</v>
      </c>
      <c r="B365" s="271" t="s">
        <v>906</v>
      </c>
    </row>
    <row r="366" spans="1:2" ht="15">
      <c r="A366" s="250">
        <v>406</v>
      </c>
      <c r="B366" s="271" t="s">
        <v>907</v>
      </c>
    </row>
    <row r="367" spans="1:2" ht="15">
      <c r="A367" s="250">
        <v>407</v>
      </c>
      <c r="B367" s="271" t="s">
        <v>908</v>
      </c>
    </row>
    <row r="368" spans="1:2" ht="15">
      <c r="A368" s="250">
        <v>408</v>
      </c>
      <c r="B368" s="270" t="s">
        <v>909</v>
      </c>
    </row>
    <row r="369" spans="1:2" ht="15">
      <c r="A369" s="250">
        <v>409</v>
      </c>
      <c r="B369" s="245" t="s">
        <v>910</v>
      </c>
    </row>
    <row r="370" spans="1:2" ht="15">
      <c r="A370" s="250">
        <v>410</v>
      </c>
      <c r="B370" s="267" t="s">
        <v>911</v>
      </c>
    </row>
    <row r="371" spans="1:2" ht="22.5">
      <c r="A371" s="250">
        <v>411</v>
      </c>
      <c r="B371" s="242" t="s">
        <v>912</v>
      </c>
    </row>
    <row r="372" spans="1:2" ht="15">
      <c r="A372" s="250">
        <v>412</v>
      </c>
      <c r="B372" s="245" t="s">
        <v>913</v>
      </c>
    </row>
    <row r="373" spans="1:2" ht="15">
      <c r="A373" s="250">
        <v>413</v>
      </c>
      <c r="B373" s="269" t="s">
        <v>914</v>
      </c>
    </row>
    <row r="374" spans="1:2" ht="15">
      <c r="A374" s="250">
        <v>414</v>
      </c>
      <c r="B374" s="245" t="s">
        <v>915</v>
      </c>
    </row>
    <row r="375" spans="1:2" ht="15">
      <c r="A375" s="250">
        <v>428</v>
      </c>
      <c r="B375" s="267" t="s">
        <v>916</v>
      </c>
    </row>
    <row r="376" spans="1:2" ht="15">
      <c r="A376" s="250">
        <v>429</v>
      </c>
      <c r="B376" s="245" t="s">
        <v>917</v>
      </c>
    </row>
    <row r="377" spans="1:2" ht="22.5">
      <c r="A377" s="250">
        <v>431</v>
      </c>
      <c r="B377" s="242" t="s">
        <v>918</v>
      </c>
    </row>
    <row r="378" spans="1:2" ht="15">
      <c r="A378" s="250">
        <v>432</v>
      </c>
      <c r="B378" s="109" t="s">
        <v>919</v>
      </c>
    </row>
    <row r="379" spans="1:2" ht="15">
      <c r="A379" s="250">
        <v>433</v>
      </c>
      <c r="B379" s="22" t="s">
        <v>920</v>
      </c>
    </row>
    <row r="380" spans="1:2" ht="38.25">
      <c r="A380" s="250">
        <v>434</v>
      </c>
      <c r="B380" s="245" t="s">
        <v>921</v>
      </c>
    </row>
    <row r="381" spans="1:2" ht="15">
      <c r="A381" s="250">
        <v>435</v>
      </c>
      <c r="B381" s="242" t="s">
        <v>922</v>
      </c>
    </row>
    <row r="382" spans="1:2" ht="15">
      <c r="A382" s="250">
        <v>436</v>
      </c>
      <c r="B382" s="242" t="s">
        <v>923</v>
      </c>
    </row>
    <row r="383" spans="1:2" ht="22.5">
      <c r="A383" s="250">
        <v>437</v>
      </c>
      <c r="B383" s="244" t="s">
        <v>297</v>
      </c>
    </row>
    <row r="384" spans="1:2" ht="15">
      <c r="A384" s="250">
        <v>438</v>
      </c>
      <c r="B384" s="242" t="s">
        <v>924</v>
      </c>
    </row>
    <row r="385" spans="1:2" ht="22.5">
      <c r="A385" s="250">
        <v>439</v>
      </c>
      <c r="B385" s="244" t="s">
        <v>221</v>
      </c>
    </row>
    <row r="386" spans="1:2" ht="21">
      <c r="A386" s="250">
        <v>440</v>
      </c>
      <c r="B386" s="243" t="s">
        <v>925</v>
      </c>
    </row>
    <row r="387" spans="1:2" ht="15">
      <c r="A387" s="250">
        <v>441</v>
      </c>
      <c r="B387" s="242" t="s">
        <v>926</v>
      </c>
    </row>
    <row r="388" spans="1:2" ht="15">
      <c r="A388" s="250">
        <v>442</v>
      </c>
      <c r="B388" s="268" t="s">
        <v>927</v>
      </c>
    </row>
    <row r="389" spans="1:2" ht="15">
      <c r="A389" s="250">
        <v>443</v>
      </c>
      <c r="B389" s="268" t="s">
        <v>928</v>
      </c>
    </row>
    <row r="390" spans="1:2" ht="15">
      <c r="A390" s="250">
        <v>444</v>
      </c>
      <c r="B390" s="245" t="s">
        <v>929</v>
      </c>
    </row>
    <row r="391" spans="1:2" ht="15">
      <c r="A391" s="250">
        <v>445</v>
      </c>
      <c r="B391" s="242" t="s">
        <v>930</v>
      </c>
    </row>
    <row r="392" spans="1:2" ht="22.5">
      <c r="A392" s="250">
        <v>446</v>
      </c>
      <c r="B392" s="242" t="s">
        <v>931</v>
      </c>
    </row>
    <row r="393" spans="1:2" ht="15">
      <c r="A393" s="250">
        <v>470</v>
      </c>
      <c r="B393" s="255" t="s">
        <v>932</v>
      </c>
    </row>
    <row r="394" spans="1:2" ht="15">
      <c r="A394" s="250">
        <v>484</v>
      </c>
      <c r="B394" s="245" t="s">
        <v>933</v>
      </c>
    </row>
    <row r="395" spans="1:2" ht="22.5">
      <c r="A395" s="250">
        <v>485</v>
      </c>
      <c r="B395" s="242" t="s">
        <v>934</v>
      </c>
    </row>
    <row r="396" spans="1:2" ht="15">
      <c r="A396" s="250">
        <v>486</v>
      </c>
      <c r="B396" s="242" t="s">
        <v>935</v>
      </c>
    </row>
    <row r="397" spans="1:2" ht="22.5">
      <c r="A397" s="250">
        <v>487</v>
      </c>
      <c r="B397" s="242" t="s">
        <v>936</v>
      </c>
    </row>
    <row r="398" spans="1:2" ht="22.5">
      <c r="A398" s="250">
        <v>488</v>
      </c>
      <c r="B398" s="242" t="s">
        <v>937</v>
      </c>
    </row>
    <row r="399" spans="1:2" ht="22.5">
      <c r="A399" s="250">
        <v>489</v>
      </c>
      <c r="B399" s="242" t="s">
        <v>938</v>
      </c>
    </row>
    <row r="400" spans="1:2" ht="15">
      <c r="A400" s="250">
        <v>490</v>
      </c>
      <c r="B400" s="245" t="s">
        <v>939</v>
      </c>
    </row>
    <row r="401" spans="1:2" ht="15">
      <c r="A401" s="250">
        <v>514</v>
      </c>
      <c r="B401" s="272" t="s">
        <v>940</v>
      </c>
    </row>
    <row r="402" spans="1:2" ht="15">
      <c r="A402" s="250">
        <v>537</v>
      </c>
      <c r="B402" s="274" t="s">
        <v>941</v>
      </c>
    </row>
    <row r="403" spans="1:2" ht="15.75">
      <c r="A403" s="250">
        <v>551</v>
      </c>
      <c r="B403" s="247" t="s">
        <v>942</v>
      </c>
    </row>
    <row r="404" spans="1:2" ht="25.5">
      <c r="A404" s="250">
        <v>552</v>
      </c>
      <c r="B404" s="245" t="s">
        <v>943</v>
      </c>
    </row>
    <row r="405" spans="1:2" ht="22.5">
      <c r="A405" s="250">
        <v>553</v>
      </c>
      <c r="B405" s="242" t="s">
        <v>944</v>
      </c>
    </row>
    <row r="406" spans="1:2" ht="22.5">
      <c r="A406" s="250">
        <v>554</v>
      </c>
      <c r="B406" s="242" t="s">
        <v>945</v>
      </c>
    </row>
    <row r="407" spans="1:2" ht="22.5">
      <c r="A407" s="250">
        <v>555</v>
      </c>
      <c r="B407" s="242" t="s">
        <v>946</v>
      </c>
    </row>
    <row r="408" spans="1:2" ht="15">
      <c r="A408" s="250">
        <v>556</v>
      </c>
      <c r="B408" s="242">
        <v>0</v>
      </c>
    </row>
    <row r="409" spans="1:2" ht="15">
      <c r="A409" s="250">
        <v>557</v>
      </c>
      <c r="B409" s="242" t="s">
        <v>947</v>
      </c>
    </row>
    <row r="410" spans="1:2" ht="15">
      <c r="A410" s="250">
        <v>558</v>
      </c>
      <c r="B410" s="243" t="s">
        <v>948</v>
      </c>
    </row>
    <row r="411" spans="1:2" ht="15">
      <c r="A411" s="250">
        <v>559</v>
      </c>
      <c r="B411" s="242" t="s">
        <v>949</v>
      </c>
    </row>
    <row r="412" spans="1:2" ht="22.5">
      <c r="A412" s="250">
        <v>560</v>
      </c>
      <c r="B412" s="242" t="s">
        <v>950</v>
      </c>
    </row>
    <row r="413" spans="1:2" ht="15">
      <c r="A413" s="250">
        <v>561</v>
      </c>
      <c r="B413" s="242" t="s">
        <v>951</v>
      </c>
    </row>
    <row r="414" spans="1:2" ht="15">
      <c r="A414" s="250">
        <v>562</v>
      </c>
      <c r="B414" s="242" t="s">
        <v>952</v>
      </c>
    </row>
    <row r="415" spans="1:2" ht="15">
      <c r="A415" s="250">
        <v>563</v>
      </c>
      <c r="B415" s="242" t="s">
        <v>953</v>
      </c>
    </row>
    <row r="416" spans="1:2" ht="15">
      <c r="A416" s="250">
        <v>564</v>
      </c>
      <c r="B416" s="242" t="s">
        <v>954</v>
      </c>
    </row>
    <row r="417" spans="1:2" ht="15">
      <c r="A417" s="250">
        <v>565</v>
      </c>
      <c r="B417" s="242" t="s">
        <v>955</v>
      </c>
    </row>
    <row r="418" spans="1:2" ht="15">
      <c r="A418" s="250">
        <v>566</v>
      </c>
      <c r="B418" s="273" t="s">
        <v>956</v>
      </c>
    </row>
    <row r="419" spans="1:2" ht="15">
      <c r="A419" s="250">
        <v>567</v>
      </c>
      <c r="B419" s="273" t="s">
        <v>957</v>
      </c>
    </row>
    <row r="420" spans="1:2" ht="15">
      <c r="A420" s="250">
        <v>568</v>
      </c>
      <c r="B420" s="273" t="s">
        <v>958</v>
      </c>
    </row>
    <row r="421" spans="1:2" ht="15">
      <c r="A421" s="250">
        <v>569</v>
      </c>
      <c r="B421" s="273" t="s">
        <v>959</v>
      </c>
    </row>
    <row r="422" spans="1:2" ht="25.5">
      <c r="A422" s="250">
        <v>570</v>
      </c>
      <c r="B422" s="245" t="s">
        <v>960</v>
      </c>
    </row>
    <row r="423" spans="1:2" ht="15">
      <c r="A423" s="250">
        <v>572</v>
      </c>
      <c r="B423" s="242">
        <v>0</v>
      </c>
    </row>
    <row r="424" spans="1:2" ht="22.5">
      <c r="A424" s="250">
        <v>573</v>
      </c>
      <c r="B424" s="242" t="s">
        <v>961</v>
      </c>
    </row>
    <row r="425" spans="1:2" ht="15">
      <c r="A425" s="250">
        <v>574</v>
      </c>
      <c r="B425" s="273" t="s">
        <v>962</v>
      </c>
    </row>
    <row r="426" spans="1:2" ht="15">
      <c r="A426" s="250">
        <v>575</v>
      </c>
      <c r="B426" s="273" t="s">
        <v>963</v>
      </c>
    </row>
    <row r="427" spans="1:2" ht="15">
      <c r="A427" s="250">
        <v>576</v>
      </c>
      <c r="B427" s="275" t="s">
        <v>964</v>
      </c>
    </row>
    <row r="428" spans="1:2" ht="15.75" thickBot="1">
      <c r="A428" s="250">
        <v>577</v>
      </c>
      <c r="B428" s="273" t="s">
        <v>965</v>
      </c>
    </row>
    <row r="429" spans="1:2" ht="15.75" thickBot="1">
      <c r="A429" s="250">
        <v>656</v>
      </c>
      <c r="B429" s="264" t="s">
        <v>76</v>
      </c>
    </row>
    <row r="430" spans="1:2" ht="25.5">
      <c r="A430" s="250">
        <v>1344</v>
      </c>
      <c r="B430" s="262" t="s">
        <v>966</v>
      </c>
    </row>
    <row r="431" spans="1:2" ht="18">
      <c r="A431" s="250">
        <v>1345</v>
      </c>
      <c r="B431" s="556" t="s">
        <v>967</v>
      </c>
    </row>
    <row r="432" spans="1:2" ht="16.5" thickBot="1">
      <c r="A432" s="250">
        <v>1346</v>
      </c>
      <c r="B432" s="12" t="s">
        <v>968</v>
      </c>
    </row>
    <row r="433" spans="1:2" ht="25.5">
      <c r="A433" s="250">
        <v>1347</v>
      </c>
      <c r="B433" s="262" t="s">
        <v>969</v>
      </c>
    </row>
    <row r="434" spans="1:2" ht="36">
      <c r="A434" s="250">
        <v>1348</v>
      </c>
      <c r="B434" s="257" t="s">
        <v>970</v>
      </c>
    </row>
    <row r="435" spans="1:2" ht="15.75">
      <c r="A435" s="250">
        <v>1349</v>
      </c>
      <c r="B435" s="247" t="s">
        <v>971</v>
      </c>
    </row>
    <row r="436" spans="1:2" ht="15">
      <c r="A436" s="250">
        <v>1350</v>
      </c>
      <c r="B436" s="267" t="s">
        <v>972</v>
      </c>
    </row>
    <row r="437" spans="1:2" ht="22.5">
      <c r="A437" s="250">
        <v>1351</v>
      </c>
      <c r="B437" s="242" t="s">
        <v>973</v>
      </c>
    </row>
    <row r="438" spans="1:2" ht="15">
      <c r="A438" s="250">
        <v>1352</v>
      </c>
      <c r="B438" s="242" t="s">
        <v>974</v>
      </c>
    </row>
    <row r="439" spans="1:2" ht="15">
      <c r="A439" s="250">
        <v>1353</v>
      </c>
      <c r="B439" s="242" t="s">
        <v>975</v>
      </c>
    </row>
    <row r="440" spans="1:2" ht="22.5">
      <c r="A440" s="250">
        <v>1354</v>
      </c>
      <c r="B440" s="242" t="s">
        <v>976</v>
      </c>
    </row>
    <row r="441" spans="1:2" ht="15">
      <c r="A441" s="250">
        <v>1355</v>
      </c>
      <c r="B441" s="242" t="s">
        <v>977</v>
      </c>
    </row>
    <row r="442" spans="1:2" ht="15">
      <c r="A442" s="250">
        <v>1357</v>
      </c>
      <c r="B442" s="277" t="s">
        <v>1153</v>
      </c>
    </row>
    <row r="443" spans="1:2" ht="15">
      <c r="A443" s="250">
        <v>1358</v>
      </c>
      <c r="B443" s="248" t="s">
        <v>978</v>
      </c>
    </row>
    <row r="444" spans="1:2" ht="15">
      <c r="A444" s="250">
        <v>1359</v>
      </c>
      <c r="B444" s="276" t="s">
        <v>979</v>
      </c>
    </row>
    <row r="445" spans="1:2" ht="15.75">
      <c r="A445" s="250">
        <v>1361</v>
      </c>
      <c r="B445" s="247" t="s">
        <v>980</v>
      </c>
    </row>
    <row r="446" spans="1:2" ht="30.75" thickBot="1">
      <c r="A446" s="250">
        <v>1362</v>
      </c>
      <c r="B446" s="249" t="s">
        <v>981</v>
      </c>
    </row>
    <row r="447" spans="1:2" ht="15">
      <c r="A447" s="250">
        <v>1364</v>
      </c>
      <c r="B447" s="263" t="s">
        <v>982</v>
      </c>
    </row>
    <row r="448" spans="1:2" ht="15">
      <c r="A448" s="250">
        <v>1372</v>
      </c>
      <c r="B448" s="554" t="s">
        <v>983</v>
      </c>
    </row>
    <row r="449" spans="1:2" ht="15">
      <c r="A449" s="250">
        <v>1373</v>
      </c>
      <c r="B449" s="554" t="s">
        <v>984</v>
      </c>
    </row>
    <row r="450" spans="1:2" ht="15">
      <c r="A450" s="250">
        <v>1375</v>
      </c>
      <c r="B450" s="554" t="s">
        <v>985</v>
      </c>
    </row>
    <row r="451" spans="1:2" ht="15">
      <c r="A451" s="250">
        <v>1379</v>
      </c>
      <c r="B451" s="554" t="s">
        <v>986</v>
      </c>
    </row>
    <row r="452" spans="1:2" ht="15">
      <c r="A452" s="250">
        <v>1380</v>
      </c>
      <c r="B452" s="554" t="s">
        <v>987</v>
      </c>
    </row>
    <row r="453" spans="1:2" ht="15">
      <c r="A453" s="250">
        <v>1381</v>
      </c>
      <c r="B453" s="278" t="s">
        <v>988</v>
      </c>
    </row>
    <row r="454" spans="1:2" ht="15">
      <c r="A454" s="250">
        <v>1382</v>
      </c>
      <c r="B454" s="554" t="s">
        <v>989</v>
      </c>
    </row>
    <row r="455" spans="1:2" ht="15">
      <c r="A455" s="250">
        <v>1384</v>
      </c>
      <c r="B455" s="505" t="s">
        <v>990</v>
      </c>
    </row>
    <row r="456" spans="1:2" ht="15">
      <c r="A456" s="250">
        <v>1385</v>
      </c>
      <c r="B456" s="505" t="s">
        <v>1155</v>
      </c>
    </row>
    <row r="457" spans="1:2" ht="15">
      <c r="A457" s="250">
        <v>1386</v>
      </c>
      <c r="B457" s="505" t="s">
        <v>991</v>
      </c>
    </row>
    <row r="458" spans="1:2" ht="15.75" thickBot="1">
      <c r="A458" s="250">
        <v>1403</v>
      </c>
      <c r="B458" s="101" t="s">
        <v>992</v>
      </c>
    </row>
    <row r="459" spans="1:2" ht="15.75" thickBot="1">
      <c r="A459" s="250">
        <v>1475</v>
      </c>
      <c r="B459" s="558" t="s">
        <v>993</v>
      </c>
    </row>
    <row r="460" spans="1:2" ht="15">
      <c r="A460" s="250">
        <v>1477</v>
      </c>
      <c r="B460" s="557" t="s">
        <v>994</v>
      </c>
    </row>
    <row r="461" spans="1:2" ht="15">
      <c r="A461" s="250">
        <v>1505</v>
      </c>
      <c r="B461" s="239" t="s">
        <v>995</v>
      </c>
    </row>
    <row r="462" spans="1:2" ht="15">
      <c r="A462" s="597">
        <v>1506</v>
      </c>
      <c r="B462" s="155" t="s">
        <v>996</v>
      </c>
    </row>
    <row r="463" spans="1:2" ht="15">
      <c r="A463" s="597">
        <v>1507</v>
      </c>
      <c r="B463" s="284" t="s">
        <v>997</v>
      </c>
    </row>
    <row r="464" spans="1:2" ht="15">
      <c r="A464" s="597">
        <v>1508</v>
      </c>
      <c r="B464" s="284" t="s">
        <v>998</v>
      </c>
    </row>
    <row r="465" spans="1:2" ht="51">
      <c r="A465" s="347">
        <v>2001</v>
      </c>
      <c r="B465" s="561" t="s">
        <v>999</v>
      </c>
    </row>
    <row r="466" spans="1:2" ht="25.5">
      <c r="A466" s="347">
        <v>2002</v>
      </c>
      <c r="B466" s="561" t="s">
        <v>1000</v>
      </c>
    </row>
    <row r="467" spans="1:2" ht="15">
      <c r="A467" s="347">
        <v>2003</v>
      </c>
      <c r="B467" s="559" t="s">
        <v>447</v>
      </c>
    </row>
    <row r="468" spans="1:2" ht="38.25">
      <c r="A468" s="347">
        <v>2007</v>
      </c>
      <c r="B468" s="561" t="s">
        <v>1171</v>
      </c>
    </row>
    <row r="469" spans="1:2" ht="15">
      <c r="A469" s="347">
        <v>2010</v>
      </c>
      <c r="B469" s="561" t="s">
        <v>1001</v>
      </c>
    </row>
    <row r="470" spans="1:2" ht="15">
      <c r="A470" s="347">
        <v>2011</v>
      </c>
      <c r="B470" s="560" t="s">
        <v>466</v>
      </c>
    </row>
    <row r="471" spans="1:2" ht="15.75" thickBot="1">
      <c r="A471" s="347">
        <v>2016</v>
      </c>
      <c r="B471" s="562" t="s">
        <v>1002</v>
      </c>
    </row>
    <row r="472" spans="1:2" ht="36">
      <c r="A472" s="347">
        <v>2017</v>
      </c>
      <c r="B472" s="563" t="s">
        <v>1003</v>
      </c>
    </row>
    <row r="473" spans="1:2" ht="22.5">
      <c r="A473" s="347">
        <v>2018</v>
      </c>
      <c r="B473" s="564" t="s">
        <v>1004</v>
      </c>
    </row>
    <row r="474" spans="1:2" ht="33.75">
      <c r="A474" s="347">
        <v>2019</v>
      </c>
      <c r="B474" s="564" t="s">
        <v>1005</v>
      </c>
    </row>
    <row r="475" spans="1:2" ht="22.5">
      <c r="A475" s="347">
        <v>2020</v>
      </c>
      <c r="B475" s="564" t="s">
        <v>1006</v>
      </c>
    </row>
    <row r="476" spans="1:2" ht="63.75">
      <c r="A476" s="347">
        <v>2039</v>
      </c>
      <c r="B476" s="565" t="s">
        <v>1007</v>
      </c>
    </row>
    <row r="477" spans="1:2" ht="15">
      <c r="A477" s="347">
        <v>2089</v>
      </c>
      <c r="B477" s="566" t="s">
        <v>1008</v>
      </c>
    </row>
    <row r="478" spans="1:2" ht="15.75" thickBot="1">
      <c r="A478" s="347">
        <v>2122</v>
      </c>
      <c r="B478" s="567" t="s">
        <v>1009</v>
      </c>
    </row>
    <row r="479" spans="1:2" ht="15">
      <c r="A479" s="347">
        <v>2135</v>
      </c>
      <c r="B479" s="564" t="s">
        <v>1010</v>
      </c>
    </row>
    <row r="480" spans="1:2" ht="15">
      <c r="A480" s="347">
        <v>2148</v>
      </c>
      <c r="B480" s="564" t="s">
        <v>1011</v>
      </c>
    </row>
    <row r="481" spans="1:2" ht="15.75" thickBot="1">
      <c r="A481" s="347">
        <v>2173</v>
      </c>
      <c r="B481" s="568" t="s">
        <v>1012</v>
      </c>
    </row>
    <row r="482" spans="1:2" ht="15.75" thickBot="1">
      <c r="A482" s="347">
        <v>2307</v>
      </c>
      <c r="B482" s="569" t="s">
        <v>1014</v>
      </c>
    </row>
    <row r="483" spans="1:2" ht="15.75" thickBot="1">
      <c r="A483" s="347">
        <v>2308</v>
      </c>
      <c r="B483" s="570" t="s">
        <v>1015</v>
      </c>
    </row>
    <row r="484" spans="1:2" ht="15">
      <c r="A484" s="347">
        <v>2347</v>
      </c>
      <c r="B484" s="571" t="s">
        <v>1016</v>
      </c>
    </row>
    <row r="485" spans="1:2" ht="15.75" thickBot="1">
      <c r="A485" s="347">
        <v>2417</v>
      </c>
      <c r="B485" s="572" t="s">
        <v>1017</v>
      </c>
    </row>
    <row r="486" spans="1:2" ht="15.75" thickBot="1">
      <c r="A486" s="347">
        <v>2418</v>
      </c>
      <c r="B486" s="572" t="s">
        <v>1018</v>
      </c>
    </row>
    <row r="487" spans="1:2" ht="15.75" thickBot="1">
      <c r="A487" s="347">
        <v>2419</v>
      </c>
      <c r="B487" s="572" t="s">
        <v>1019</v>
      </c>
    </row>
    <row r="488" spans="1:2" ht="15">
      <c r="A488" s="347">
        <v>2420</v>
      </c>
      <c r="B488" s="573" t="s">
        <v>1020</v>
      </c>
    </row>
    <row r="489" spans="1:2" ht="15">
      <c r="A489" s="347">
        <v>2421</v>
      </c>
      <c r="B489" s="573" t="s">
        <v>1021</v>
      </c>
    </row>
    <row r="490" spans="1:2" ht="15">
      <c r="A490" s="347">
        <v>2422</v>
      </c>
      <c r="B490" s="573" t="s">
        <v>1022</v>
      </c>
    </row>
    <row r="491" spans="1:2" ht="15">
      <c r="A491" s="347">
        <v>2423</v>
      </c>
      <c r="B491" s="573" t="s">
        <v>1156</v>
      </c>
    </row>
    <row r="492" spans="1:2" ht="15">
      <c r="A492" s="347">
        <v>2424</v>
      </c>
      <c r="B492" s="573" t="s">
        <v>1157</v>
      </c>
    </row>
    <row r="493" spans="1:2" ht="15">
      <c r="A493" s="347">
        <v>2425</v>
      </c>
      <c r="B493" s="573" t="s">
        <v>1159</v>
      </c>
    </row>
    <row r="494" spans="1:2" ht="15">
      <c r="A494" s="347">
        <v>2426</v>
      </c>
      <c r="B494" s="574" t="s">
        <v>1158</v>
      </c>
    </row>
    <row r="495" spans="1:2" ht="15">
      <c r="A495" s="347">
        <v>2427</v>
      </c>
      <c r="B495" s="573" t="s">
        <v>1023</v>
      </c>
    </row>
    <row r="496" spans="1:2" ht="15">
      <c r="A496" s="347">
        <v>2428</v>
      </c>
      <c r="B496" s="573" t="s">
        <v>1024</v>
      </c>
    </row>
    <row r="497" spans="1:2" ht="15">
      <c r="A497" s="347">
        <v>2429</v>
      </c>
      <c r="B497" s="573" t="s">
        <v>1025</v>
      </c>
    </row>
    <row r="498" spans="1:2" ht="15">
      <c r="A498" s="347">
        <v>2430</v>
      </c>
      <c r="B498" s="573" t="s">
        <v>1026</v>
      </c>
    </row>
    <row r="499" spans="1:2" ht="15">
      <c r="A499" s="347">
        <v>2431</v>
      </c>
      <c r="B499" s="573" t="s">
        <v>1027</v>
      </c>
    </row>
    <row r="500" spans="1:2" ht="15">
      <c r="A500" s="347">
        <v>2432</v>
      </c>
      <c r="B500" s="575" t="s">
        <v>1028</v>
      </c>
    </row>
    <row r="501" spans="1:2" ht="15">
      <c r="A501" s="347">
        <v>2433</v>
      </c>
      <c r="B501" s="573" t="s">
        <v>1029</v>
      </c>
    </row>
    <row r="502" spans="1:2" ht="15">
      <c r="A502" s="347">
        <v>2434</v>
      </c>
      <c r="B502" s="573" t="s">
        <v>1160</v>
      </c>
    </row>
    <row r="503" spans="1:2" ht="15">
      <c r="A503" s="347">
        <v>2435</v>
      </c>
      <c r="B503" s="573" t="s">
        <v>1161</v>
      </c>
    </row>
    <row r="504" spans="1:2" ht="15">
      <c r="A504" s="347">
        <v>2436</v>
      </c>
      <c r="B504" s="573" t="s">
        <v>1030</v>
      </c>
    </row>
    <row r="505" spans="1:2" ht="15">
      <c r="A505" s="347">
        <v>2437</v>
      </c>
      <c r="B505" s="573" t="s">
        <v>1031</v>
      </c>
    </row>
    <row r="506" spans="1:2" ht="15">
      <c r="A506" s="347">
        <v>2438</v>
      </c>
      <c r="B506" s="574" t="s">
        <v>1032</v>
      </c>
    </row>
    <row r="507" spans="1:2" ht="15">
      <c r="A507" s="347">
        <v>2439</v>
      </c>
      <c r="B507" s="574" t="s">
        <v>1033</v>
      </c>
    </row>
    <row r="508" spans="1:2" ht="15">
      <c r="A508" s="347">
        <v>2440</v>
      </c>
      <c r="B508" s="573" t="s">
        <v>1034</v>
      </c>
    </row>
    <row r="509" spans="1:2" ht="15">
      <c r="A509" s="347">
        <v>2441</v>
      </c>
      <c r="B509" s="573" t="s">
        <v>473</v>
      </c>
    </row>
    <row r="510" spans="1:2" ht="15">
      <c r="A510" s="347">
        <v>2442</v>
      </c>
      <c r="B510" s="573" t="s">
        <v>134</v>
      </c>
    </row>
    <row r="511" spans="1:2" ht="15">
      <c r="A511" s="347">
        <v>2443</v>
      </c>
      <c r="B511" s="573" t="s">
        <v>1035</v>
      </c>
    </row>
    <row r="512" spans="1:2" ht="15">
      <c r="A512" s="347">
        <v>2444</v>
      </c>
      <c r="B512" s="574" t="s">
        <v>1036</v>
      </c>
    </row>
    <row r="513" spans="1:2" ht="15">
      <c r="A513" s="347">
        <v>2445</v>
      </c>
      <c r="B513" s="574" t="s">
        <v>1163</v>
      </c>
    </row>
    <row r="514" spans="1:2" ht="15">
      <c r="A514" s="347">
        <v>2446</v>
      </c>
      <c r="B514" s="574" t="s">
        <v>1164</v>
      </c>
    </row>
    <row r="515" spans="1:2" ht="15">
      <c r="A515" s="347">
        <v>2447</v>
      </c>
      <c r="B515" s="574" t="s">
        <v>1165</v>
      </c>
    </row>
    <row r="516" spans="1:2" ht="15">
      <c r="A516" s="347">
        <v>2448</v>
      </c>
      <c r="B516" s="574" t="s">
        <v>1166</v>
      </c>
    </row>
    <row r="517" spans="1:2" ht="15">
      <c r="A517" s="347">
        <v>2449</v>
      </c>
      <c r="B517" s="574" t="s">
        <v>1037</v>
      </c>
    </row>
    <row r="518" spans="1:2" ht="15">
      <c r="A518" s="347">
        <v>2450</v>
      </c>
      <c r="B518" s="574" t="s">
        <v>1038</v>
      </c>
    </row>
    <row r="519" spans="1:2" ht="15">
      <c r="A519" s="347">
        <v>2451</v>
      </c>
      <c r="B519" s="574" t="s">
        <v>1039</v>
      </c>
    </row>
    <row r="520" spans="1:2" ht="15">
      <c r="A520" s="347">
        <v>2452</v>
      </c>
      <c r="B520" s="574" t="s">
        <v>1040</v>
      </c>
    </row>
    <row r="521" spans="1:2" ht="15">
      <c r="A521" s="347">
        <v>2453</v>
      </c>
      <c r="B521" s="574" t="s">
        <v>1041</v>
      </c>
    </row>
    <row r="522" spans="1:2" ht="15">
      <c r="A522" s="347">
        <v>2454</v>
      </c>
      <c r="B522" s="574" t="s">
        <v>1042</v>
      </c>
    </row>
    <row r="523" spans="1:2" ht="15">
      <c r="A523" s="347">
        <v>2455</v>
      </c>
      <c r="B523" s="574" t="s">
        <v>1043</v>
      </c>
    </row>
    <row r="524" spans="1:2" ht="15">
      <c r="A524" s="347">
        <v>2456</v>
      </c>
      <c r="B524" s="574" t="s">
        <v>1044</v>
      </c>
    </row>
    <row r="525" spans="1:2" ht="15">
      <c r="A525" s="347">
        <v>2457</v>
      </c>
      <c r="B525" s="574" t="s">
        <v>1045</v>
      </c>
    </row>
    <row r="526" spans="1:2" ht="15">
      <c r="A526" s="347">
        <v>2458</v>
      </c>
      <c r="B526" s="574" t="s">
        <v>1046</v>
      </c>
    </row>
    <row r="527" spans="1:2" ht="15">
      <c r="A527" s="347">
        <v>2459</v>
      </c>
      <c r="B527" s="574" t="s">
        <v>1047</v>
      </c>
    </row>
    <row r="528" spans="1:2" ht="15">
      <c r="A528" s="347">
        <v>2460</v>
      </c>
      <c r="B528" s="574" t="s">
        <v>1048</v>
      </c>
    </row>
    <row r="529" spans="1:2" ht="15">
      <c r="A529" s="347">
        <v>2461</v>
      </c>
      <c r="B529" s="574" t="s">
        <v>1049</v>
      </c>
    </row>
    <row r="530" spans="1:2" ht="15">
      <c r="A530" s="347">
        <v>2462</v>
      </c>
      <c r="B530" s="574" t="s">
        <v>1050</v>
      </c>
    </row>
    <row r="531" spans="1:2" ht="15">
      <c r="A531" s="347">
        <v>2464</v>
      </c>
      <c r="B531" s="574" t="s">
        <v>1162</v>
      </c>
    </row>
    <row r="532" spans="1:2" ht="15">
      <c r="A532" s="347">
        <v>2465</v>
      </c>
      <c r="B532" s="574" t="s">
        <v>1051</v>
      </c>
    </row>
    <row r="533" spans="1:2" ht="15.75" thickBot="1">
      <c r="A533" s="347">
        <v>2466</v>
      </c>
      <c r="B533" s="574" t="s">
        <v>1052</v>
      </c>
    </row>
    <row r="534" spans="1:6" ht="15">
      <c r="A534" s="347">
        <v>3000</v>
      </c>
      <c r="B534" s="576" t="s">
        <v>1053</v>
      </c>
      <c r="D534" s="366"/>
      <c r="E534" s="366"/>
      <c r="F534" s="367"/>
    </row>
    <row r="535" spans="1:6" ht="15">
      <c r="A535" s="347">
        <v>3001</v>
      </c>
      <c r="B535" s="577" t="s">
        <v>1054</v>
      </c>
      <c r="D535" s="366"/>
      <c r="E535" s="366"/>
      <c r="F535" s="367"/>
    </row>
    <row r="536" spans="1:6" ht="15">
      <c r="A536" s="347">
        <v>3002</v>
      </c>
      <c r="B536" s="577" t="s">
        <v>1055</v>
      </c>
      <c r="D536" s="366"/>
      <c r="E536" s="366"/>
      <c r="F536" s="367"/>
    </row>
    <row r="537" spans="1:2" ht="15">
      <c r="A537" s="347">
        <v>3003</v>
      </c>
      <c r="B537" s="578" t="s">
        <v>1056</v>
      </c>
    </row>
    <row r="538" spans="1:2" ht="15">
      <c r="A538" s="347">
        <v>3004</v>
      </c>
      <c r="B538" s="578" t="s">
        <v>1057</v>
      </c>
    </row>
    <row r="539" spans="1:2" ht="45">
      <c r="A539" s="347">
        <v>3005</v>
      </c>
      <c r="B539" s="578" t="s">
        <v>1058</v>
      </c>
    </row>
    <row r="540" spans="1:2" ht="15">
      <c r="A540" s="347">
        <v>3006</v>
      </c>
      <c r="B540" s="578" t="s">
        <v>1059</v>
      </c>
    </row>
    <row r="541" spans="1:2" ht="15">
      <c r="A541" s="347">
        <v>3007</v>
      </c>
      <c r="B541" s="578" t="s">
        <v>1060</v>
      </c>
    </row>
    <row r="542" spans="1:2" ht="15">
      <c r="A542" s="347">
        <v>3008</v>
      </c>
      <c r="B542" s="578" t="s">
        <v>1061</v>
      </c>
    </row>
    <row r="543" spans="1:2" ht="15">
      <c r="A543" s="347">
        <v>3009</v>
      </c>
      <c r="B543" s="578" t="s">
        <v>1062</v>
      </c>
    </row>
    <row r="544" spans="1:2" ht="15">
      <c r="A544" s="347">
        <v>3010</v>
      </c>
      <c r="B544" s="578" t="s">
        <v>1063</v>
      </c>
    </row>
    <row r="545" spans="1:2" ht="15.75">
      <c r="A545" s="347">
        <v>3011</v>
      </c>
      <c r="B545" s="579" t="s">
        <v>1064</v>
      </c>
    </row>
    <row r="546" spans="1:2" ht="15.75">
      <c r="A546" s="347">
        <v>3012</v>
      </c>
      <c r="B546" s="579" t="s">
        <v>1065</v>
      </c>
    </row>
    <row r="547" spans="1:4" ht="46.5">
      <c r="A547" s="347">
        <v>3013</v>
      </c>
      <c r="B547" s="580" t="s">
        <v>1066</v>
      </c>
      <c r="D547" s="494"/>
    </row>
    <row r="548" spans="1:4" ht="63.75">
      <c r="A548" s="347">
        <v>3014</v>
      </c>
      <c r="B548" s="581" t="s">
        <v>1169</v>
      </c>
      <c r="D548" s="494"/>
    </row>
    <row r="549" spans="1:4" ht="25.5">
      <c r="A549" s="347">
        <v>3015</v>
      </c>
      <c r="B549" s="582" t="s">
        <v>1067</v>
      </c>
      <c r="D549" s="494"/>
    </row>
    <row r="550" spans="1:4" ht="25.5">
      <c r="A550" s="347">
        <v>3016</v>
      </c>
      <c r="B550" s="582" t="s">
        <v>1068</v>
      </c>
      <c r="D550" s="494"/>
    </row>
    <row r="551" spans="1:4" ht="38.25">
      <c r="A551" s="347">
        <v>3017</v>
      </c>
      <c r="B551" s="582" t="s">
        <v>1170</v>
      </c>
      <c r="D551" s="494"/>
    </row>
    <row r="552" spans="1:4" ht="25.5">
      <c r="A552" s="347">
        <v>3018</v>
      </c>
      <c r="B552" s="581" t="s">
        <v>1069</v>
      </c>
      <c r="D552" s="494"/>
    </row>
    <row r="553" spans="1:4" ht="63.75">
      <c r="A553" s="347">
        <v>3019</v>
      </c>
      <c r="B553" s="582" t="s">
        <v>1070</v>
      </c>
      <c r="D553" s="494"/>
    </row>
    <row r="554" spans="1:4" ht="38.25">
      <c r="A554" s="347">
        <v>3020</v>
      </c>
      <c r="B554" s="581" t="s">
        <v>1149</v>
      </c>
      <c r="D554" s="494"/>
    </row>
    <row r="555" spans="1:4" ht="25.5">
      <c r="A555" s="347">
        <v>3021</v>
      </c>
      <c r="B555" s="582" t="s">
        <v>1071</v>
      </c>
      <c r="D555" s="494"/>
    </row>
    <row r="556" spans="1:4" ht="25.5">
      <c r="A556" s="347">
        <v>3022</v>
      </c>
      <c r="B556" s="582" t="s">
        <v>1072</v>
      </c>
      <c r="D556" s="494"/>
    </row>
    <row r="557" spans="1:4" ht="38.25">
      <c r="A557" s="347">
        <v>3023</v>
      </c>
      <c r="B557" s="582" t="s">
        <v>1073</v>
      </c>
      <c r="D557" s="494"/>
    </row>
    <row r="558" spans="1:4" ht="25.5">
      <c r="A558" s="347">
        <v>3024</v>
      </c>
      <c r="B558" s="582" t="s">
        <v>1074</v>
      </c>
      <c r="D558" s="494"/>
    </row>
    <row r="559" spans="1:4" ht="38.25">
      <c r="A559" s="347">
        <v>3025</v>
      </c>
      <c r="B559" s="582" t="s">
        <v>1075</v>
      </c>
      <c r="D559" s="494"/>
    </row>
    <row r="560" spans="1:4" ht="15">
      <c r="A560" s="347">
        <v>3026</v>
      </c>
      <c r="B560" s="583" t="s">
        <v>1076</v>
      </c>
      <c r="D560" s="494"/>
    </row>
    <row r="561" spans="1:4" ht="33.75">
      <c r="A561" s="347">
        <v>3027</v>
      </c>
      <c r="B561" s="584" t="s">
        <v>1077</v>
      </c>
      <c r="D561" s="494"/>
    </row>
    <row r="562" spans="1:4" ht="25.5">
      <c r="A562" s="347">
        <v>3028</v>
      </c>
      <c r="B562" s="583" t="s">
        <v>1078</v>
      </c>
      <c r="D562" s="494"/>
    </row>
    <row r="563" spans="1:4" ht="15">
      <c r="A563" s="347">
        <v>3029</v>
      </c>
      <c r="B563" s="583" t="s">
        <v>1079</v>
      </c>
      <c r="D563" s="494"/>
    </row>
    <row r="564" spans="1:4" ht="22.5">
      <c r="A564" s="347">
        <v>3030</v>
      </c>
      <c r="B564" s="584" t="s">
        <v>1080</v>
      </c>
      <c r="D564" s="494"/>
    </row>
    <row r="565" spans="1:4" ht="33.75">
      <c r="A565" s="347">
        <v>3031</v>
      </c>
      <c r="B565" s="584" t="s">
        <v>1146</v>
      </c>
      <c r="D565" s="494"/>
    </row>
    <row r="566" spans="1:4" ht="31.5">
      <c r="A566" s="347">
        <v>3032</v>
      </c>
      <c r="B566" s="585" t="s">
        <v>1081</v>
      </c>
      <c r="D566" s="494"/>
    </row>
    <row r="567" spans="1:4" ht="15.75" thickBot="1">
      <c r="A567" s="347">
        <v>3033</v>
      </c>
      <c r="B567" s="586" t="s">
        <v>1082</v>
      </c>
      <c r="D567" s="494"/>
    </row>
    <row r="568" spans="1:4" ht="21">
      <c r="A568" s="347">
        <v>3034</v>
      </c>
      <c r="B568" s="585" t="s">
        <v>1083</v>
      </c>
      <c r="D568" s="494"/>
    </row>
    <row r="569" spans="1:4" ht="22.5">
      <c r="A569" s="347">
        <v>3035</v>
      </c>
      <c r="B569" s="584" t="s">
        <v>1084</v>
      </c>
      <c r="D569" s="494"/>
    </row>
    <row r="570" spans="1:4" ht="22.5">
      <c r="A570" s="347">
        <v>3036</v>
      </c>
      <c r="B570" s="584" t="s">
        <v>1085</v>
      </c>
      <c r="D570" s="494"/>
    </row>
    <row r="571" spans="1:4" ht="21">
      <c r="A571" s="347">
        <v>3037</v>
      </c>
      <c r="B571" s="585" t="s">
        <v>1086</v>
      </c>
      <c r="D571" s="494"/>
    </row>
    <row r="572" spans="1:4" ht="22.5">
      <c r="A572" s="347">
        <v>3038</v>
      </c>
      <c r="B572" s="584" t="s">
        <v>1087</v>
      </c>
      <c r="D572" s="494"/>
    </row>
    <row r="573" spans="1:4" ht="22.5">
      <c r="A573" s="347">
        <v>3039</v>
      </c>
      <c r="B573" s="584" t="s">
        <v>1088</v>
      </c>
      <c r="D573" s="494"/>
    </row>
    <row r="574" spans="1:4" ht="25.5">
      <c r="A574" s="347">
        <v>3040</v>
      </c>
      <c r="B574" s="583" t="s">
        <v>1089</v>
      </c>
      <c r="D574" s="494"/>
    </row>
    <row r="575" spans="1:4" ht="22.5">
      <c r="A575" s="347">
        <v>3041</v>
      </c>
      <c r="B575" s="584" t="s">
        <v>1090</v>
      </c>
      <c r="D575" s="494"/>
    </row>
    <row r="576" spans="1:4" ht="34.5" thickBot="1">
      <c r="A576" s="347">
        <v>3042</v>
      </c>
      <c r="B576" s="584" t="s">
        <v>1091</v>
      </c>
      <c r="D576" s="494"/>
    </row>
    <row r="577" spans="1:4" ht="15.75" thickBot="1">
      <c r="A577" s="347">
        <v>3043</v>
      </c>
      <c r="B577" s="587" t="s">
        <v>1092</v>
      </c>
      <c r="D577" s="494"/>
    </row>
    <row r="578" spans="1:4" ht="15.75" thickBot="1">
      <c r="A578" s="347">
        <v>3044</v>
      </c>
      <c r="B578" s="586" t="s">
        <v>1093</v>
      </c>
      <c r="D578" s="494"/>
    </row>
    <row r="579" spans="1:4" ht="15.75" thickBot="1">
      <c r="A579" s="347">
        <v>3045</v>
      </c>
      <c r="B579" s="586" t="s">
        <v>1094</v>
      </c>
      <c r="D579" s="494"/>
    </row>
    <row r="580" spans="1:4" ht="15.75" thickBot="1">
      <c r="A580" s="347">
        <v>3046</v>
      </c>
      <c r="B580" s="586" t="s">
        <v>1095</v>
      </c>
      <c r="D580" s="494"/>
    </row>
    <row r="581" spans="1:4" ht="15.75" thickBot="1">
      <c r="A581" s="347">
        <v>3047</v>
      </c>
      <c r="B581" s="586" t="s">
        <v>1096</v>
      </c>
      <c r="D581" s="494"/>
    </row>
    <row r="582" spans="1:4" ht="15.75" thickBot="1">
      <c r="A582" s="347">
        <v>3048</v>
      </c>
      <c r="B582" s="586" t="s">
        <v>1097</v>
      </c>
      <c r="D582" s="494"/>
    </row>
    <row r="583" spans="1:4" ht="15.75" thickBot="1">
      <c r="A583" s="347">
        <v>3049</v>
      </c>
      <c r="B583" s="586" t="s">
        <v>1098</v>
      </c>
      <c r="D583" s="494"/>
    </row>
    <row r="584" spans="1:4" ht="15.75" thickBot="1">
      <c r="A584" s="347">
        <v>3050</v>
      </c>
      <c r="B584" s="586" t="s">
        <v>1096</v>
      </c>
      <c r="D584" s="494"/>
    </row>
    <row r="585" spans="1:4" ht="21.75" thickBot="1">
      <c r="A585" s="347">
        <v>3051</v>
      </c>
      <c r="B585" s="585" t="s">
        <v>1099</v>
      </c>
      <c r="D585" s="494"/>
    </row>
    <row r="586" spans="1:4" ht="15.75" thickBot="1">
      <c r="A586" s="347">
        <v>3052</v>
      </c>
      <c r="B586" s="587" t="s">
        <v>1100</v>
      </c>
      <c r="D586" s="494"/>
    </row>
    <row r="587" spans="1:4" ht="15.75" thickBot="1">
      <c r="A587" s="347">
        <v>3053</v>
      </c>
      <c r="B587" s="586" t="s">
        <v>1101</v>
      </c>
      <c r="D587" s="494"/>
    </row>
    <row r="588" spans="1:4" ht="21">
      <c r="A588" s="347">
        <v>3054</v>
      </c>
      <c r="B588" s="585" t="s">
        <v>1102</v>
      </c>
      <c r="D588" s="494"/>
    </row>
    <row r="589" spans="1:4" ht="21.75" thickBot="1">
      <c r="A589" s="347">
        <v>3055</v>
      </c>
      <c r="B589" s="585" t="s">
        <v>1103</v>
      </c>
      <c r="D589" s="494"/>
    </row>
    <row r="590" spans="1:4" ht="15">
      <c r="A590" s="347">
        <v>3056</v>
      </c>
      <c r="B590" s="588" t="s">
        <v>1104</v>
      </c>
      <c r="D590" s="494"/>
    </row>
    <row r="591" spans="1:4" ht="18">
      <c r="A591" s="347">
        <v>3057</v>
      </c>
      <c r="B591" s="589" t="s">
        <v>1105</v>
      </c>
      <c r="D591" s="494"/>
    </row>
    <row r="592" spans="1:4" ht="15.75">
      <c r="A592" s="347">
        <v>3058</v>
      </c>
      <c r="B592" s="579" t="s">
        <v>1106</v>
      </c>
      <c r="D592" s="494"/>
    </row>
    <row r="593" spans="1:4" ht="25.5">
      <c r="A593" s="347">
        <v>3059</v>
      </c>
      <c r="B593" s="583" t="s">
        <v>1107</v>
      </c>
      <c r="D593" s="494"/>
    </row>
    <row r="594" spans="1:4" ht="22.5">
      <c r="A594" s="347">
        <v>3060</v>
      </c>
      <c r="B594" s="584" t="s">
        <v>1108</v>
      </c>
      <c r="D594" s="494"/>
    </row>
    <row r="595" spans="1:4" ht="25.5">
      <c r="A595" s="347">
        <v>3061</v>
      </c>
      <c r="B595" s="583" t="s">
        <v>1109</v>
      </c>
      <c r="D595" s="494"/>
    </row>
    <row r="596" spans="1:4" ht="22.5">
      <c r="A596" s="347">
        <v>3062</v>
      </c>
      <c r="B596" s="584" t="s">
        <v>1110</v>
      </c>
      <c r="D596" s="494"/>
    </row>
    <row r="597" spans="1:4" ht="15">
      <c r="A597" s="347">
        <v>3063</v>
      </c>
      <c r="B597" s="583" t="s">
        <v>1111</v>
      </c>
      <c r="D597" s="494"/>
    </row>
    <row r="598" spans="1:4" ht="22.5">
      <c r="A598" s="347">
        <v>3064</v>
      </c>
      <c r="B598" s="584" t="s">
        <v>1112</v>
      </c>
      <c r="D598" s="494"/>
    </row>
    <row r="599" spans="1:4" ht="34.5" thickBot="1">
      <c r="A599" s="347">
        <v>3065</v>
      </c>
      <c r="B599" s="584" t="s">
        <v>1113</v>
      </c>
      <c r="D599" s="494"/>
    </row>
    <row r="600" spans="1:4" ht="15">
      <c r="A600" s="347">
        <v>3066</v>
      </c>
      <c r="B600" s="588" t="s">
        <v>1114</v>
      </c>
      <c r="D600" s="494"/>
    </row>
    <row r="601" spans="1:4" ht="18">
      <c r="A601" s="347">
        <v>3067</v>
      </c>
      <c r="B601" s="589" t="s">
        <v>1115</v>
      </c>
      <c r="D601" s="494"/>
    </row>
    <row r="602" spans="1:4" ht="15.75">
      <c r="A602" s="347">
        <v>3068</v>
      </c>
      <c r="B602" s="579" t="s">
        <v>1116</v>
      </c>
      <c r="D602" s="494"/>
    </row>
    <row r="603" spans="1:4" ht="15">
      <c r="A603" s="347">
        <v>3069</v>
      </c>
      <c r="B603" s="584" t="s">
        <v>1117</v>
      </c>
      <c r="D603" s="494"/>
    </row>
    <row r="604" spans="1:4" ht="15">
      <c r="A604" s="347">
        <v>3070</v>
      </c>
      <c r="B604" s="583" t="s">
        <v>1118</v>
      </c>
      <c r="D604" s="494"/>
    </row>
    <row r="605" spans="1:4" ht="15">
      <c r="A605" s="347">
        <v>3071</v>
      </c>
      <c r="B605" s="590" t="s">
        <v>1119</v>
      </c>
      <c r="D605" s="494"/>
    </row>
    <row r="606" spans="1:4" ht="15">
      <c r="A606" s="347">
        <v>3072</v>
      </c>
      <c r="B606" s="590" t="s">
        <v>1120</v>
      </c>
      <c r="D606" s="494"/>
    </row>
    <row r="607" spans="1:4" ht="15.75" thickBot="1">
      <c r="A607" s="347">
        <v>3073</v>
      </c>
      <c r="B607" s="586" t="s">
        <v>1121</v>
      </c>
      <c r="D607" s="494"/>
    </row>
    <row r="608" spans="1:4" ht="15.75" thickBot="1">
      <c r="A608" s="347">
        <v>3074</v>
      </c>
      <c r="B608" s="591" t="s">
        <v>1122</v>
      </c>
      <c r="D608" s="494"/>
    </row>
    <row r="609" spans="1:4" ht="15">
      <c r="A609" s="347">
        <v>3075</v>
      </c>
      <c r="B609" s="592" t="s">
        <v>1123</v>
      </c>
      <c r="D609" s="494"/>
    </row>
    <row r="610" spans="1:4" ht="18">
      <c r="A610" s="347">
        <v>3076</v>
      </c>
      <c r="B610" s="589" t="s">
        <v>1124</v>
      </c>
      <c r="D610" s="494"/>
    </row>
    <row r="611" spans="1:4" ht="15.75">
      <c r="A611" s="347">
        <v>3077</v>
      </c>
      <c r="B611" s="579" t="s">
        <v>1125</v>
      </c>
      <c r="D611" s="494"/>
    </row>
    <row r="612" spans="1:4" ht="15.75">
      <c r="A612" s="347">
        <v>3078</v>
      </c>
      <c r="B612" s="579" t="s">
        <v>1126</v>
      </c>
      <c r="D612" s="494"/>
    </row>
    <row r="613" spans="1:4" ht="15">
      <c r="A613" s="347">
        <v>3079</v>
      </c>
      <c r="B613" s="577" t="s">
        <v>1127</v>
      </c>
      <c r="D613" s="494"/>
    </row>
    <row r="614" spans="1:2" ht="15">
      <c r="A614" s="347">
        <v>3080</v>
      </c>
      <c r="B614" s="593" t="s">
        <v>1013</v>
      </c>
    </row>
    <row r="615" spans="1:2" ht="15">
      <c r="A615" s="347">
        <v>3081</v>
      </c>
      <c r="B615" s="593" t="s">
        <v>562</v>
      </c>
    </row>
    <row r="616" spans="1:2" ht="15">
      <c r="A616" s="347">
        <v>3082</v>
      </c>
      <c r="B616" s="593" t="s">
        <v>1128</v>
      </c>
    </row>
    <row r="617" spans="1:11" ht="22.5">
      <c r="A617" s="347">
        <v>3083</v>
      </c>
      <c r="B617" s="584" t="s">
        <v>1167</v>
      </c>
      <c r="D617" s="495"/>
      <c r="E617" s="495"/>
      <c r="F617" s="495"/>
      <c r="G617" s="495"/>
      <c r="H617" s="495"/>
      <c r="I617" s="495"/>
      <c r="J617" s="495"/>
      <c r="K617" s="495"/>
    </row>
    <row r="618" spans="1:2" ht="15">
      <c r="A618" s="347">
        <v>3084</v>
      </c>
      <c r="B618" s="578" t="s">
        <v>1129</v>
      </c>
    </row>
    <row r="619" spans="1:2" ht="30">
      <c r="A619" s="347">
        <v>3085</v>
      </c>
      <c r="B619" s="578" t="s">
        <v>1130</v>
      </c>
    </row>
    <row r="620" spans="1:2" ht="30">
      <c r="A620" s="347">
        <v>3086</v>
      </c>
      <c r="B620" s="578" t="s">
        <v>1131</v>
      </c>
    </row>
    <row r="621" spans="1:2" ht="60">
      <c r="A621" s="347">
        <v>3087</v>
      </c>
      <c r="B621" s="578" t="s">
        <v>1132</v>
      </c>
    </row>
    <row r="622" spans="1:2" ht="30">
      <c r="A622" s="347">
        <v>3088</v>
      </c>
      <c r="B622" s="578" t="s">
        <v>1133</v>
      </c>
    </row>
    <row r="623" spans="1:2" ht="15">
      <c r="A623" s="347">
        <v>3089</v>
      </c>
      <c r="B623" s="578" t="s">
        <v>1134</v>
      </c>
    </row>
    <row r="624" spans="1:2" ht="15">
      <c r="A624" s="347">
        <v>3090</v>
      </c>
      <c r="B624" s="578" t="s">
        <v>1135</v>
      </c>
    </row>
    <row r="625" spans="1:2" ht="30">
      <c r="A625" s="347">
        <v>3091</v>
      </c>
      <c r="B625" s="578" t="s">
        <v>1136</v>
      </c>
    </row>
    <row r="626" spans="1:2" ht="45">
      <c r="A626" s="347">
        <v>3092</v>
      </c>
      <c r="B626" s="578" t="s">
        <v>1137</v>
      </c>
    </row>
    <row r="627" spans="1:2" ht="15">
      <c r="A627" s="347">
        <v>3093</v>
      </c>
      <c r="B627" s="594" t="s">
        <v>1138</v>
      </c>
    </row>
    <row r="628" spans="1:2" ht="15">
      <c r="A628" s="347">
        <v>3094</v>
      </c>
      <c r="B628" s="595" t="s">
        <v>1139</v>
      </c>
    </row>
    <row r="629" spans="1:2" ht="15">
      <c r="A629" s="347">
        <v>3095</v>
      </c>
      <c r="B629" s="595" t="s">
        <v>1140</v>
      </c>
    </row>
    <row r="630" spans="1:2" ht="15">
      <c r="A630" s="347">
        <v>3096</v>
      </c>
      <c r="B630" s="578" t="s">
        <v>1168</v>
      </c>
    </row>
    <row r="631" spans="1:2" ht="30">
      <c r="A631" s="347">
        <v>3097</v>
      </c>
      <c r="B631" s="578" t="s">
        <v>1141</v>
      </c>
    </row>
    <row r="632" spans="1:2" ht="33.75">
      <c r="A632" s="347">
        <v>3098</v>
      </c>
      <c r="B632" s="584" t="s">
        <v>1142</v>
      </c>
    </row>
    <row r="633" spans="1:2" ht="33.75">
      <c r="A633" s="347">
        <v>3099</v>
      </c>
      <c r="B633" s="584" t="s">
        <v>1143</v>
      </c>
    </row>
    <row r="634" spans="1:2" ht="22.5">
      <c r="A634" s="347">
        <v>3100</v>
      </c>
      <c r="B634" s="584" t="s">
        <v>1144</v>
      </c>
    </row>
    <row r="635" spans="1:2" ht="30">
      <c r="A635" s="347">
        <v>3101</v>
      </c>
      <c r="B635" s="626" t="s">
        <v>1145</v>
      </c>
    </row>
    <row r="636" spans="1:2" ht="36">
      <c r="A636" s="347">
        <v>3102</v>
      </c>
      <c r="B636" s="596" t="s">
        <v>1172</v>
      </c>
    </row>
    <row r="637" spans="1:2" ht="15">
      <c r="A637" s="347">
        <v>3103</v>
      </c>
      <c r="B637" s="594" t="s">
        <v>1148</v>
      </c>
    </row>
  </sheetData>
  <sheetProtection sheet="1" objects="1" scenarios="1" formatCells="0" formatColumns="0" formatRows="0"/>
  <autoFilter ref="A1:C637"/>
  <conditionalFormatting sqref="B336">
    <cfRule type="expression" priority="1" dxfId="0" stopIfTrue="1">
      <formula>CNTR_HasErrors_A</formula>
    </cfRule>
  </conditionalFormatting>
  <conditionalFormatting sqref="B338">
    <cfRule type="expression" priority="3" dxfId="0" stopIfTrue="1">
      <formula>$C$383</formula>
    </cfRule>
  </conditionalFormatting>
  <hyperlinks>
    <hyperlink ref="B277" location="JUMP_Guidelines_Home" display="Next sheet"/>
    <hyperlink ref="B278" r:id="rId1" display="Summary"/>
    <hyperlink ref="B279" location="JUMP_Coverpage_Top" display="Top of sheet"/>
    <hyperlink ref="B280" location="JUMP_Coverpage_Bottom" display="End of sheet"/>
    <hyperlink ref="B290" location="JUMP_TOC_Home" display="Table of contents"/>
    <hyperlink ref="B291" location="JUMP_TOC_Home" display="Previous sheet"/>
    <hyperlink ref="B294" r:id="rId2" display="http://eur-lex.europa.eu/LexUriServ/LexUriServ.do?uri=CONSLEG:2003L0087:20090625:EN:PDF"/>
    <hyperlink ref="B327" r:id="rId3" display="http://eur-lex.europa.eu/en/index.htm "/>
    <hyperlink ref="B329" r:id="rId4" display="http://ec.europa.eu/clima/policies/ets/index_en.htm"/>
    <hyperlink ref="B335" location="JUMP_A_I" display="&lt;&lt;&lt; Click here to proceed to next sheet &gt;&gt;&gt; "/>
    <hyperlink ref="B337" location="JUMP_A_I1" display="Installation ID"/>
    <hyperlink ref="B338" r:id="rId5" display="Eligibility"/>
    <hyperlink ref="B339" location="JUMP_A_IV1" display="Technical connections"/>
    <hyperlink ref="B383" r:id="rId6" display="http://ec.europa.eu/eurostat/ramon/nomenclatures/index.cfm?TargetUrl=LST_CLS_DLD&amp;StrNom=NACE_1_1&amp;StrLanguageCode=EN&amp;StrLayoutCode=HIERARCHIC"/>
    <hyperlink ref="B385" r:id="rId7" display="http://ec.europa.eu/eurostat/ramon/nomenclatures/index.cfm?TargetUrl=LST_CLS_DLD&amp;StrNom=NACE_REV2&amp;StrLanguageCode=EN&amp;StrLayoutCode=HIERARCHIC"/>
    <hyperlink ref="B429" r:id="rId8" display="N2O"/>
    <hyperlink ref="B447" r:id="rId9" display="Installation data"/>
    <hyperlink ref="B467" r:id="rId10" display="http://eur-lex.europa.eu/LexUriServ/LexUriServ.do?uri=CONSLEG:2011D0278:20111117:EN:PDF"/>
    <hyperlink ref="B470" r:id="rId11" display="http://ec.europa.eu/clima/policies/ets/benchmarking/documentation_en.htm"/>
  </hyperlinks>
  <printOptions/>
  <pageMargins left="0.7" right="0.7" top="0.787401575" bottom="0.787401575" header="0.3" footer="0.3"/>
  <pageSetup fitToHeight="4" fitToWidth="1" horizontalDpi="600" verticalDpi="600" orientation="portrait" paperSize="9" r:id="rId12"/>
  <headerFooter>
    <oddHeader>&amp;L&amp;F; &amp;A&amp;R&amp;D; &amp;T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8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3.421875" style="82" customWidth="1"/>
    <col min="2" max="2" width="34.7109375" style="82" customWidth="1"/>
    <col min="3" max="3" width="15.140625" style="82" customWidth="1"/>
    <col min="4" max="4" width="15.421875" style="82" customWidth="1"/>
    <col min="5" max="16384" width="11.421875" style="82" customWidth="1"/>
  </cols>
  <sheetData>
    <row r="1" ht="13.5" thickBot="1">
      <c r="A1" s="84" t="s">
        <v>168</v>
      </c>
    </row>
    <row r="2" spans="1:2" ht="13.5" thickBot="1">
      <c r="A2" s="158" t="s">
        <v>169</v>
      </c>
      <c r="B2" s="159" t="s">
        <v>534</v>
      </c>
    </row>
    <row r="3" spans="1:5" ht="13.5" thickBot="1">
      <c r="A3" s="160" t="s">
        <v>167</v>
      </c>
      <c r="B3" s="161">
        <v>42330</v>
      </c>
      <c r="C3" s="162" t="str">
        <f>IF(ISNUMBER(MATCH(B3,A15:A27,0)),VLOOKUP(B3,A15:B27,2,FALSE),"---")</f>
        <v>NE&amp;C MergerSplit_2015-11-22_COM_bg.XLS</v>
      </c>
      <c r="D3" s="163"/>
      <c r="E3" s="164"/>
    </row>
    <row r="4" spans="1:2" ht="12.75">
      <c r="A4" s="165" t="s">
        <v>172</v>
      </c>
      <c r="B4" s="166" t="s">
        <v>173</v>
      </c>
    </row>
    <row r="5" spans="1:2" ht="13.5" thickBot="1">
      <c r="A5" s="167" t="s">
        <v>171</v>
      </c>
      <c r="B5" s="168" t="s">
        <v>174</v>
      </c>
    </row>
    <row r="6" ht="12.75"/>
    <row r="7" ht="12.75">
      <c r="A7" s="169" t="s">
        <v>170</v>
      </c>
    </row>
    <row r="8" spans="1:3" ht="12.75">
      <c r="A8" s="112" t="s">
        <v>501</v>
      </c>
      <c r="B8" s="112"/>
      <c r="C8" s="170" t="s">
        <v>502</v>
      </c>
    </row>
    <row r="9" spans="1:3" ht="12.75">
      <c r="A9" s="112" t="s">
        <v>78</v>
      </c>
      <c r="B9" s="112"/>
      <c r="C9" s="170" t="s">
        <v>79</v>
      </c>
    </row>
    <row r="10" spans="1:3" ht="12.75">
      <c r="A10" s="112" t="s">
        <v>299</v>
      </c>
      <c r="B10" s="112"/>
      <c r="C10" s="170" t="s">
        <v>299</v>
      </c>
    </row>
    <row r="11" spans="1:3" ht="12.75">
      <c r="A11" s="112" t="s">
        <v>442</v>
      </c>
      <c r="B11" s="112"/>
      <c r="C11" s="170" t="s">
        <v>52</v>
      </c>
    </row>
    <row r="12" spans="1:3" ht="12.75">
      <c r="A12" s="443" t="s">
        <v>534</v>
      </c>
      <c r="B12" s="112"/>
      <c r="C12" s="444" t="s">
        <v>535</v>
      </c>
    </row>
    <row r="13" ht="12.75">
      <c r="A13" s="90"/>
    </row>
    <row r="14" spans="1:3" ht="12.75">
      <c r="A14" s="84" t="s">
        <v>424</v>
      </c>
      <c r="B14" s="84" t="s">
        <v>371</v>
      </c>
      <c r="C14" s="84" t="s">
        <v>98</v>
      </c>
    </row>
    <row r="15" spans="1:4" ht="12.75">
      <c r="A15" s="171">
        <v>42009</v>
      </c>
      <c r="B15" s="174" t="str">
        <f aca="true" t="shared" si="0" ref="B15:B22">IF(ISBLANK(A15),"",CONCATENATE(VLOOKUP($B$2,$A$8:$C$12,3,0),"_",TEXT(YEAR(A15),"####"),"-",TEXT(MONTH(A15),"0#"),"-",TEXT(DAY(A15),"0#"),"_",VLOOKUP($B$4,$A$30:$B$62,2,0),"_",VLOOKUP($B$5,$A$65:$B$89,2,0),".XLS"))</f>
        <v>NE&amp;C MergerSplit_2015-01-05_COM_bg.XLS</v>
      </c>
      <c r="C15" s="445" t="s">
        <v>541</v>
      </c>
      <c r="D15" s="172"/>
    </row>
    <row r="16" spans="1:4" ht="12.75">
      <c r="A16" s="173">
        <v>42044</v>
      </c>
      <c r="B16" s="174" t="str">
        <f t="shared" si="0"/>
        <v>NE&amp;C MergerSplit_2015-02-09_COM_bg.XLS</v>
      </c>
      <c r="C16" s="339" t="s">
        <v>544</v>
      </c>
      <c r="D16" s="176"/>
    </row>
    <row r="17" spans="1:4" ht="12.75">
      <c r="A17" s="173">
        <v>42223</v>
      </c>
      <c r="B17" s="174" t="str">
        <f t="shared" si="0"/>
        <v>NE&amp;C MergerSplit_2015-08-07_COM_bg.XLS</v>
      </c>
      <c r="C17" s="339" t="s">
        <v>545</v>
      </c>
      <c r="D17" s="176"/>
    </row>
    <row r="18" spans="1:4" ht="12.75">
      <c r="A18" s="173">
        <v>42284</v>
      </c>
      <c r="B18" s="174" t="str">
        <f t="shared" si="0"/>
        <v>NE&amp;C MergerSplit_2015-10-07_COM_bg.XLS</v>
      </c>
      <c r="C18" s="339" t="s">
        <v>552</v>
      </c>
      <c r="D18" s="176"/>
    </row>
    <row r="19" spans="1:4" ht="12.75">
      <c r="A19" s="173">
        <v>42318</v>
      </c>
      <c r="B19" s="174" t="str">
        <f t="shared" si="0"/>
        <v>NE&amp;C MergerSplit_2015-11-10_COM_bg.XLS</v>
      </c>
      <c r="C19" s="175" t="s">
        <v>556</v>
      </c>
      <c r="D19" s="176"/>
    </row>
    <row r="20" spans="1:4" ht="12.75">
      <c r="A20" s="173">
        <v>42330</v>
      </c>
      <c r="B20" s="174" t="str">
        <f t="shared" si="0"/>
        <v>NE&amp;C MergerSplit_2015-11-22_COM_bg.XLS</v>
      </c>
      <c r="C20" s="339" t="s">
        <v>1147</v>
      </c>
      <c r="D20" s="176"/>
    </row>
    <row r="21" spans="1:4" ht="12.75">
      <c r="A21" s="173"/>
      <c r="B21" s="174">
        <f t="shared" si="0"/>
      </c>
      <c r="C21" s="175"/>
      <c r="D21" s="176"/>
    </row>
    <row r="22" spans="1:4" ht="12.75">
      <c r="A22" s="173"/>
      <c r="B22" s="174">
        <f t="shared" si="0"/>
      </c>
      <c r="C22" s="175"/>
      <c r="D22" s="176"/>
    </row>
    <row r="23" spans="1:4" ht="12.75">
      <c r="A23" s="173"/>
      <c r="B23" s="174">
        <f>IF(ISBLANK(A23),"",CONCATENATE(VLOOKUP($B$2,$A$8:$C$12,3,0),"_",TEXT(YEAR(A23),"####"),"-",TEXT(MONTH(A23),"0#"),"-",TEXT(DAY(A23),"0#"),"_",VLOOKUP($B$4,$A$30:$B$62,2,0),"_",VLOOKUP($B$5,$A$65:$B$89,2,0),".XLS"))</f>
      </c>
      <c r="C23" s="175"/>
      <c r="D23" s="176"/>
    </row>
    <row r="24" spans="1:4" ht="12.75">
      <c r="A24" s="173"/>
      <c r="B24" s="174">
        <f>IF(ISBLANK(A24),"",CONCATENATE(VLOOKUP($B$2,$A$8:$C$12,3,0),"_",TEXT(YEAR(A24),"####"),"-",TEXT(MONTH(A24),"0#"),"-",TEXT(DAY(A24),"0#"),"_",VLOOKUP($B$4,$A$30:$B$62,2,0),"_",VLOOKUP($B$5,$A$65:$B$89,2,0),".XLS"))</f>
      </c>
      <c r="C24" s="339"/>
      <c r="D24" s="176"/>
    </row>
    <row r="25" spans="1:4" ht="12.75">
      <c r="A25" s="173"/>
      <c r="B25" s="174">
        <f>IF(ISBLANK(A25),"",CONCATENATE(VLOOKUP($B$2,$A$8:$C$12,3,0),"_",TEXT(YEAR(A25),"####"),"-",TEXT(MONTH(A25),"0#"),"-",TEXT(DAY(A25),"0#"),"_",VLOOKUP($B$4,$A$30:$B$62,2,0),"_",VLOOKUP($B$5,$A$65:$B$89,2,0),".XLS"))</f>
      </c>
      <c r="C25" s="175"/>
      <c r="D25" s="176"/>
    </row>
    <row r="26" spans="1:4" ht="12.75">
      <c r="A26" s="173"/>
      <c r="B26" s="174">
        <f>IF(ISBLANK(A26),"",CONCATENATE(VLOOKUP($B$2,$A$8:$C$12,3,0),"_",TEXT(YEAR(A26),"####"),"-",TEXT(MONTH(A26),"0#"),"-",TEXT(DAY(A26),"0#"),"_",VLOOKUP($B$4,$A$30:$B$62,2,0),"_",VLOOKUP($B$5,$A$65:$B$89,2,0),".XLS"))</f>
      </c>
      <c r="C26" s="175"/>
      <c r="D26" s="176"/>
    </row>
    <row r="27" spans="1:4" ht="12.75">
      <c r="A27" s="251"/>
      <c r="B27" s="177">
        <f>IF(ISBLANK(A27),"",CONCATENATE(VLOOKUP($B$2,$A$8:$C$12,3,0),"_",TEXT(YEAR(A27),"####"),"-",TEXT(MONTH(A27),"0#"),"-",TEXT(DAY(A27),"0#"),"_",VLOOKUP($B$4,$A$30:$B$62,2,0),"_",VLOOKUP($B$5,$A$65:$B$89,2,0),".XLS"))</f>
      </c>
      <c r="C27" s="178"/>
      <c r="D27" s="179"/>
    </row>
    <row r="29" ht="12.75">
      <c r="A29" s="84" t="s">
        <v>172</v>
      </c>
    </row>
    <row r="30" spans="1:3" ht="12.75">
      <c r="A30" s="156" t="s">
        <v>173</v>
      </c>
      <c r="B30" s="156" t="s">
        <v>372</v>
      </c>
      <c r="C30" s="111"/>
    </row>
    <row r="31" spans="1:2" ht="12.75">
      <c r="A31" s="156" t="s">
        <v>298</v>
      </c>
      <c r="B31" s="156" t="s">
        <v>62</v>
      </c>
    </row>
    <row r="32" spans="1:2" ht="12.75">
      <c r="A32" s="156" t="s">
        <v>453</v>
      </c>
      <c r="B32" s="156" t="s">
        <v>373</v>
      </c>
    </row>
    <row r="33" spans="1:2" ht="12.75">
      <c r="A33" s="156" t="s">
        <v>454</v>
      </c>
      <c r="B33" s="156" t="s">
        <v>374</v>
      </c>
    </row>
    <row r="34" spans="1:2" ht="12.75">
      <c r="A34" s="156" t="s">
        <v>455</v>
      </c>
      <c r="B34" s="156" t="s">
        <v>375</v>
      </c>
    </row>
    <row r="35" spans="1:2" ht="12.75">
      <c r="A35" s="156" t="s">
        <v>443</v>
      </c>
      <c r="B35" s="156" t="s">
        <v>444</v>
      </c>
    </row>
    <row r="36" spans="1:2" ht="12.75">
      <c r="A36" s="156" t="s">
        <v>456</v>
      </c>
      <c r="B36" s="156" t="s">
        <v>376</v>
      </c>
    </row>
    <row r="37" spans="1:2" ht="12.75">
      <c r="A37" s="156" t="s">
        <v>457</v>
      </c>
      <c r="B37" s="156" t="s">
        <v>377</v>
      </c>
    </row>
    <row r="38" spans="1:2" ht="12.75">
      <c r="A38" s="156" t="s">
        <v>458</v>
      </c>
      <c r="B38" s="156" t="s">
        <v>378</v>
      </c>
    </row>
    <row r="39" spans="1:2" ht="12.75">
      <c r="A39" s="156" t="s">
        <v>459</v>
      </c>
      <c r="B39" s="156" t="s">
        <v>379</v>
      </c>
    </row>
    <row r="40" spans="1:2" ht="12.75">
      <c r="A40" s="156" t="s">
        <v>460</v>
      </c>
      <c r="B40" s="156" t="s">
        <v>380</v>
      </c>
    </row>
    <row r="41" spans="1:2" ht="12.75">
      <c r="A41" s="156" t="s">
        <v>461</v>
      </c>
      <c r="B41" s="156" t="s">
        <v>381</v>
      </c>
    </row>
    <row r="42" spans="1:2" ht="12.75">
      <c r="A42" s="156" t="s">
        <v>488</v>
      </c>
      <c r="B42" s="156" t="s">
        <v>382</v>
      </c>
    </row>
    <row r="43" spans="1:2" ht="12.75">
      <c r="A43" s="156" t="s">
        <v>489</v>
      </c>
      <c r="B43" s="156" t="s">
        <v>383</v>
      </c>
    </row>
    <row r="44" spans="1:2" ht="12.75">
      <c r="A44" s="156" t="s">
        <v>490</v>
      </c>
      <c r="B44" s="156" t="s">
        <v>384</v>
      </c>
    </row>
    <row r="45" spans="1:2" ht="12.75">
      <c r="A45" s="156" t="s">
        <v>499</v>
      </c>
      <c r="B45" s="156" t="s">
        <v>59</v>
      </c>
    </row>
    <row r="46" spans="1:2" ht="12.75">
      <c r="A46" s="156" t="s">
        <v>491</v>
      </c>
      <c r="B46" s="156" t="s">
        <v>385</v>
      </c>
    </row>
    <row r="47" spans="1:2" ht="12.75">
      <c r="A47" s="156" t="s">
        <v>492</v>
      </c>
      <c r="B47" s="156" t="s">
        <v>386</v>
      </c>
    </row>
    <row r="48" spans="1:2" ht="12.75">
      <c r="A48" s="156" t="s">
        <v>493</v>
      </c>
      <c r="B48" s="156" t="s">
        <v>387</v>
      </c>
    </row>
    <row r="49" spans="1:2" ht="12.75">
      <c r="A49" s="156" t="s">
        <v>58</v>
      </c>
      <c r="B49" s="156" t="s">
        <v>60</v>
      </c>
    </row>
    <row r="50" spans="1:2" ht="12.75">
      <c r="A50" s="156" t="s">
        <v>494</v>
      </c>
      <c r="B50" s="156" t="s">
        <v>388</v>
      </c>
    </row>
    <row r="51" spans="1:2" ht="12.75">
      <c r="A51" s="156" t="s">
        <v>495</v>
      </c>
      <c r="B51" s="156" t="s">
        <v>389</v>
      </c>
    </row>
    <row r="52" spans="1:2" ht="12.75">
      <c r="A52" s="156" t="s">
        <v>496</v>
      </c>
      <c r="B52" s="156" t="s">
        <v>390</v>
      </c>
    </row>
    <row r="53" spans="1:2" ht="12.75">
      <c r="A53" s="156" t="s">
        <v>497</v>
      </c>
      <c r="B53" s="156" t="s">
        <v>391</v>
      </c>
    </row>
    <row r="54" spans="1:2" ht="12.75">
      <c r="A54" s="156" t="s">
        <v>57</v>
      </c>
      <c r="B54" s="156" t="s">
        <v>61</v>
      </c>
    </row>
    <row r="55" spans="1:2" ht="12.75">
      <c r="A55" s="156" t="s">
        <v>498</v>
      </c>
      <c r="B55" s="156" t="s">
        <v>392</v>
      </c>
    </row>
    <row r="56" spans="1:2" ht="12.75">
      <c r="A56" s="156" t="s">
        <v>314</v>
      </c>
      <c r="B56" s="156" t="s">
        <v>393</v>
      </c>
    </row>
    <row r="57" spans="1:2" ht="12.75">
      <c r="A57" s="156" t="s">
        <v>315</v>
      </c>
      <c r="B57" s="156" t="s">
        <v>394</v>
      </c>
    </row>
    <row r="58" spans="1:2" ht="12.75">
      <c r="A58" s="156" t="s">
        <v>316</v>
      </c>
      <c r="B58" s="156" t="s">
        <v>395</v>
      </c>
    </row>
    <row r="59" spans="1:2" ht="12.75">
      <c r="A59" s="156" t="s">
        <v>317</v>
      </c>
      <c r="B59" s="156" t="s">
        <v>396</v>
      </c>
    </row>
    <row r="60" spans="1:2" ht="12.75">
      <c r="A60" s="156" t="s">
        <v>300</v>
      </c>
      <c r="B60" s="156" t="s">
        <v>397</v>
      </c>
    </row>
    <row r="61" spans="1:2" ht="12.75">
      <c r="A61" s="156" t="s">
        <v>301</v>
      </c>
      <c r="B61" s="156" t="s">
        <v>289</v>
      </c>
    </row>
    <row r="62" spans="1:2" ht="12.75" customHeight="1">
      <c r="A62" s="156" t="s">
        <v>302</v>
      </c>
      <c r="B62" s="156" t="s">
        <v>290</v>
      </c>
    </row>
    <row r="64" ht="12.75">
      <c r="A64" s="91" t="s">
        <v>425</v>
      </c>
    </row>
    <row r="65" spans="1:2" ht="12.75">
      <c r="A65" s="157" t="s">
        <v>174</v>
      </c>
      <c r="B65" s="157" t="s">
        <v>175</v>
      </c>
    </row>
    <row r="66" spans="1:2" ht="12.75">
      <c r="A66" s="157" t="s">
        <v>176</v>
      </c>
      <c r="B66" s="157" t="s">
        <v>177</v>
      </c>
    </row>
    <row r="67" spans="1:2" ht="12.75">
      <c r="A67" s="330" t="s">
        <v>445</v>
      </c>
      <c r="B67" s="330" t="s">
        <v>446</v>
      </c>
    </row>
    <row r="68" spans="1:2" ht="12.75">
      <c r="A68" s="157" t="s">
        <v>178</v>
      </c>
      <c r="B68" s="157" t="s">
        <v>179</v>
      </c>
    </row>
    <row r="69" spans="1:2" ht="12.75">
      <c r="A69" s="157" t="s">
        <v>180</v>
      </c>
      <c r="B69" s="157" t="s">
        <v>181</v>
      </c>
    </row>
    <row r="70" spans="1:2" ht="12.75">
      <c r="A70" s="157" t="s">
        <v>182</v>
      </c>
      <c r="B70" s="157" t="s">
        <v>183</v>
      </c>
    </row>
    <row r="71" spans="1:2" ht="12.75">
      <c r="A71" s="157" t="s">
        <v>184</v>
      </c>
      <c r="B71" s="157" t="s">
        <v>185</v>
      </c>
    </row>
    <row r="72" spans="1:2" ht="12.75">
      <c r="A72" s="157" t="s">
        <v>186</v>
      </c>
      <c r="B72" s="157" t="s">
        <v>187</v>
      </c>
    </row>
    <row r="73" spans="1:2" ht="12.75">
      <c r="A73" s="157" t="s">
        <v>188</v>
      </c>
      <c r="B73" s="157" t="s">
        <v>189</v>
      </c>
    </row>
    <row r="74" spans="1:2" ht="12.75">
      <c r="A74" s="157" t="s">
        <v>190</v>
      </c>
      <c r="B74" s="157" t="s">
        <v>191</v>
      </c>
    </row>
    <row r="75" spans="1:2" ht="12.75">
      <c r="A75" s="157" t="s">
        <v>192</v>
      </c>
      <c r="B75" s="157" t="s">
        <v>193</v>
      </c>
    </row>
    <row r="76" spans="1:2" ht="12.75">
      <c r="A76" s="157" t="s">
        <v>194</v>
      </c>
      <c r="B76" s="157" t="s">
        <v>348</v>
      </c>
    </row>
    <row r="77" spans="1:2" ht="12.75">
      <c r="A77" s="157" t="s">
        <v>349</v>
      </c>
      <c r="B77" s="157" t="s">
        <v>350</v>
      </c>
    </row>
    <row r="78" spans="1:2" ht="12.75">
      <c r="A78" s="157" t="s">
        <v>351</v>
      </c>
      <c r="B78" s="157" t="s">
        <v>352</v>
      </c>
    </row>
    <row r="79" spans="1:2" ht="12.75">
      <c r="A79" s="157" t="s">
        <v>353</v>
      </c>
      <c r="B79" s="157" t="s">
        <v>354</v>
      </c>
    </row>
    <row r="80" spans="1:2" ht="12.75">
      <c r="A80" s="157" t="s">
        <v>355</v>
      </c>
      <c r="B80" s="157" t="s">
        <v>356</v>
      </c>
    </row>
    <row r="81" spans="1:2" ht="12.75">
      <c r="A81" s="157" t="s">
        <v>357</v>
      </c>
      <c r="B81" s="157" t="s">
        <v>358</v>
      </c>
    </row>
    <row r="82" spans="1:2" ht="12.75">
      <c r="A82" s="157" t="s">
        <v>359</v>
      </c>
      <c r="B82" s="157" t="s">
        <v>360</v>
      </c>
    </row>
    <row r="83" spans="1:2" ht="12.75">
      <c r="A83" s="157" t="s">
        <v>361</v>
      </c>
      <c r="B83" s="157" t="s">
        <v>362</v>
      </c>
    </row>
    <row r="84" spans="1:2" ht="12.75">
      <c r="A84" s="157" t="s">
        <v>363</v>
      </c>
      <c r="B84" s="157" t="s">
        <v>364</v>
      </c>
    </row>
    <row r="85" spans="1:2" ht="12.75">
      <c r="A85" s="157" t="s">
        <v>365</v>
      </c>
      <c r="B85" s="157" t="s">
        <v>366</v>
      </c>
    </row>
    <row r="86" spans="1:2" ht="12.75">
      <c r="A86" s="157" t="s">
        <v>367</v>
      </c>
      <c r="B86" s="157" t="s">
        <v>368</v>
      </c>
    </row>
    <row r="87" spans="1:2" ht="12.75">
      <c r="A87" s="157" t="s">
        <v>369</v>
      </c>
      <c r="B87" s="157" t="s">
        <v>370</v>
      </c>
    </row>
    <row r="88" spans="1:2" ht="12.75">
      <c r="A88" s="157" t="s">
        <v>331</v>
      </c>
      <c r="B88" s="157" t="s">
        <v>332</v>
      </c>
    </row>
    <row r="89" spans="1:2" ht="12.75">
      <c r="A89" s="157" t="s">
        <v>333</v>
      </c>
      <c r="B89" s="157" t="s">
        <v>334</v>
      </c>
    </row>
  </sheetData>
  <sheetProtection sheet="1" objects="1" scenarios="1" formatCells="0" formatColumns="0" formatRows="0"/>
  <dataValidations count="4">
    <dataValidation type="list" allowBlank="1" showInputMessage="1" showErrorMessage="1" sqref="B5">
      <formula1>$A$65:$A$89</formula1>
    </dataValidation>
    <dataValidation type="list" allowBlank="1" showInputMessage="1" showErrorMessage="1" sqref="B2">
      <formula1>$A$8:$A$12</formula1>
    </dataValidation>
    <dataValidation type="list" allowBlank="1" showInputMessage="1" showErrorMessage="1" sqref="B3">
      <formula1>$A$15:$A$27</formula1>
    </dataValidation>
    <dataValidation type="list" allowBlank="1" showInputMessage="1" showErrorMessage="1" sqref="B4">
      <formula1>$A$30:$A$62</formula1>
    </dataValidation>
  </dataValidations>
  <printOptions/>
  <pageMargins left="0.787401575" right="0.787401575" top="0.984251969" bottom="0.984251969" header="0.5" footer="0.5"/>
  <pageSetup fitToHeight="1" fitToWidth="1" horizontalDpi="600" verticalDpi="600" orientation="portrait" paperSize="9" scale="71" r:id="rId3"/>
  <headerFooter alignWithMargins="0">
    <oddHeader>&amp;L&amp;F; &amp;A&amp;R&amp;D ;&amp;T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zoomScalePageLayoutView="0" workbookViewId="0" topLeftCell="A1">
      <pane ySplit="4" topLeftCell="A65" activePane="bottomLeft" state="frozen"/>
      <selection pane="topLeft" activeCell="F43" sqref="F43"/>
      <selection pane="bottomLeft" activeCell="E115" sqref="E115"/>
    </sheetView>
  </sheetViews>
  <sheetFormatPr defaultColWidth="11.421875" defaultRowHeight="12.75"/>
  <cols>
    <col min="1" max="1" width="2.421875" style="481" hidden="1" customWidth="1"/>
    <col min="2" max="2" width="4.7109375" style="543" customWidth="1"/>
    <col min="3" max="3" width="12.7109375" style="543" customWidth="1"/>
    <col min="4" max="4" width="15.7109375" style="543" customWidth="1"/>
    <col min="5" max="11" width="12.7109375" style="543" customWidth="1"/>
    <col min="12" max="12" width="12.7109375" style="481" customWidth="1"/>
    <col min="13" max="13" width="4.7109375" style="481" customWidth="1"/>
    <col min="14" max="14" width="11.421875" style="481" customWidth="1"/>
    <col min="15" max="24" width="9.140625" style="464" hidden="1" customWidth="1"/>
    <col min="25" max="16384" width="11.421875" style="481" customWidth="1"/>
  </cols>
  <sheetData>
    <row r="1" spans="1:24" s="4" customFormat="1" ht="13.5" hidden="1" thickBot="1">
      <c r="A1" s="401" t="s">
        <v>474</v>
      </c>
      <c r="O1" s="401" t="s">
        <v>474</v>
      </c>
      <c r="P1" s="384" t="s">
        <v>474</v>
      </c>
      <c r="Q1" s="384" t="s">
        <v>474</v>
      </c>
      <c r="R1" s="384" t="s">
        <v>474</v>
      </c>
      <c r="S1" s="384" t="s">
        <v>474</v>
      </c>
      <c r="T1" s="384" t="s">
        <v>474</v>
      </c>
      <c r="U1" s="384" t="s">
        <v>474</v>
      </c>
      <c r="V1" s="384" t="s">
        <v>474</v>
      </c>
      <c r="W1" s="384" t="s">
        <v>474</v>
      </c>
      <c r="X1" s="384" t="s">
        <v>474</v>
      </c>
    </row>
    <row r="2" spans="2:24" ht="13.5" customHeight="1" thickBot="1">
      <c r="B2" s="645" t="s">
        <v>266</v>
      </c>
      <c r="C2" s="201" t="str">
        <f>Translations!$B$276</f>
        <v>Навигационно меню:</v>
      </c>
      <c r="D2" s="199"/>
      <c r="E2" s="661" t="str">
        <f>Translations!$B$290</f>
        <v>Съдържание</v>
      </c>
      <c r="F2" s="648"/>
      <c r="G2" s="648"/>
      <c r="H2" s="648"/>
      <c r="I2" s="648" t="str">
        <f>HYPERLINK(U2,Translations!$B$277)</f>
        <v>Следващ работен лист (sheet)</v>
      </c>
      <c r="J2" s="648"/>
      <c r="K2" s="648" t="str">
        <f>HYPERLINK(W2,Translations!$B$278)</f>
        <v>Обобщение</v>
      </c>
      <c r="L2" s="655"/>
      <c r="M2" s="9"/>
      <c r="N2" s="480"/>
      <c r="O2" s="402" t="s">
        <v>539</v>
      </c>
      <c r="P2" s="402"/>
      <c r="Q2" s="650"/>
      <c r="R2" s="651"/>
      <c r="S2" s="652"/>
      <c r="T2" s="651"/>
      <c r="U2" s="652" t="str">
        <f>"#"&amp;ADDRESS(ROW(D6),COLUMN(D6),,,A_InstallationData!Q3)</f>
        <v>#A_InstallationData!$D$6</v>
      </c>
      <c r="V2" s="651"/>
      <c r="W2" s="652" t="str">
        <f>"#"&amp;ADDRESS(ROW(D6),COLUMN(D6),,,D_Summary!Q3)</f>
        <v>#D_Summary!$D$6</v>
      </c>
      <c r="X2" s="653"/>
    </row>
    <row r="3" spans="2:24" ht="13.5" thickBot="1">
      <c r="B3" s="646"/>
      <c r="C3" s="648" t="str">
        <f>HYPERLINK(P3,Translations!$B$279)</f>
        <v>Начало на работния лист</v>
      </c>
      <c r="D3" s="696"/>
      <c r="E3" s="662"/>
      <c r="F3" s="663"/>
      <c r="G3" s="698"/>
      <c r="H3" s="663"/>
      <c r="I3" s="698"/>
      <c r="J3" s="663"/>
      <c r="K3" s="698"/>
      <c r="L3" s="663"/>
      <c r="M3" s="9"/>
      <c r="N3" s="480"/>
      <c r="O3" s="460" t="str">
        <f ca="1">IF(ISERROR(CELL("filename",O2)),"b_Guidelines &amp; conditions",MID(CELL("filename",O2),FIND("]",CELL("filename",O2))+1,1024))</f>
        <v>b_Guidelines &amp; conditions</v>
      </c>
      <c r="P3" s="461" t="str">
        <f>"#"&amp;ADDRESS(ROW(B10),COLUMN(B10))</f>
        <v>#$B$10</v>
      </c>
      <c r="Q3" s="721"/>
      <c r="R3" s="722"/>
      <c r="S3" s="723"/>
      <c r="T3" s="722"/>
      <c r="U3" s="723"/>
      <c r="V3" s="722"/>
      <c r="W3" s="723"/>
      <c r="X3" s="724"/>
    </row>
    <row r="4" spans="2:24" ht="13.5" thickBot="1">
      <c r="B4" s="647"/>
      <c r="C4" s="648" t="str">
        <f>HYPERLINK(P4,Translations!$B$280)</f>
        <v>Край на работния лист</v>
      </c>
      <c r="D4" s="648"/>
      <c r="E4" s="704"/>
      <c r="F4" s="705"/>
      <c r="G4" s="706"/>
      <c r="H4" s="705"/>
      <c r="I4" s="706"/>
      <c r="J4" s="705"/>
      <c r="K4" s="706"/>
      <c r="L4" s="705"/>
      <c r="M4" s="9"/>
      <c r="N4" s="480"/>
      <c r="O4" s="402"/>
      <c r="P4" s="462" t="str">
        <f>"#"&amp;ADDRESS(ROW(JUMP_Guidelines_Bottom),COLUMN(JUMP_Guidelines_Bottom))</f>
        <v>#$C$104</v>
      </c>
      <c r="Q4" s="727"/>
      <c r="R4" s="728"/>
      <c r="S4" s="729"/>
      <c r="T4" s="728"/>
      <c r="U4" s="729"/>
      <c r="V4" s="728"/>
      <c r="W4" s="729"/>
      <c r="X4" s="730"/>
    </row>
    <row r="5" spans="2:16" ht="12.75">
      <c r="B5" s="83"/>
      <c r="C5" s="83"/>
      <c r="D5" s="83"/>
      <c r="E5" s="83"/>
      <c r="F5" s="83"/>
      <c r="G5" s="83"/>
      <c r="H5" s="83"/>
      <c r="I5" s="83"/>
      <c r="J5" s="83"/>
      <c r="K5" s="83"/>
      <c r="L5" s="86"/>
      <c r="M5" s="86"/>
      <c r="P5" s="467" t="str">
        <f>HYPERLINK(P4,"T")</f>
        <v>T</v>
      </c>
    </row>
    <row r="6" spans="2:13" ht="18">
      <c r="B6" s="14"/>
      <c r="C6" s="664" t="str">
        <f>Translations!$B$292</f>
        <v>УКАЗАНИЯ И УСЛОВИЯ</v>
      </c>
      <c r="D6" s="664"/>
      <c r="E6" s="664"/>
      <c r="F6" s="664"/>
      <c r="G6" s="664"/>
      <c r="H6" s="664"/>
      <c r="I6" s="664"/>
      <c r="J6" s="664"/>
      <c r="K6" s="664"/>
      <c r="L6" s="83"/>
      <c r="M6" s="86"/>
    </row>
    <row r="7" spans="2:13" ht="12.75">
      <c r="B7" s="14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86"/>
    </row>
    <row r="8" spans="2:24" s="482" customFormat="1" ht="15.75">
      <c r="B8" s="12"/>
      <c r="C8" s="666" t="str">
        <f>Translations!$B$293</f>
        <v>Обща информация за настоящия модел</v>
      </c>
      <c r="D8" s="666"/>
      <c r="E8" s="666"/>
      <c r="F8" s="666"/>
      <c r="G8" s="666"/>
      <c r="H8" s="666"/>
      <c r="I8" s="666"/>
      <c r="J8" s="666"/>
      <c r="K8" s="666"/>
      <c r="L8" s="666"/>
      <c r="M8" s="7"/>
      <c r="O8" s="478"/>
      <c r="P8" s="478"/>
      <c r="Q8" s="478"/>
      <c r="R8" s="478"/>
      <c r="S8" s="478"/>
      <c r="T8" s="478"/>
      <c r="U8" s="478"/>
      <c r="V8" s="478"/>
      <c r="W8" s="478"/>
      <c r="X8" s="478"/>
    </row>
    <row r="9" spans="2:24" s="482" customFormat="1" ht="12.75">
      <c r="B9" s="88"/>
      <c r="C9" s="88"/>
      <c r="D9" s="88"/>
      <c r="E9" s="88"/>
      <c r="F9" s="88"/>
      <c r="G9" s="88"/>
      <c r="H9" s="88"/>
      <c r="I9" s="88"/>
      <c r="J9" s="88"/>
      <c r="K9" s="19"/>
      <c r="L9" s="19"/>
      <c r="M9" s="7"/>
      <c r="O9" s="478"/>
      <c r="P9" s="478"/>
      <c r="Q9" s="478"/>
      <c r="R9" s="478"/>
      <c r="S9" s="478"/>
      <c r="T9" s="478"/>
      <c r="U9" s="478"/>
      <c r="V9" s="478"/>
      <c r="W9" s="478"/>
      <c r="X9" s="478"/>
    </row>
    <row r="10" spans="2:24" s="482" customFormat="1" ht="42" customHeight="1">
      <c r="B10" s="183">
        <v>1</v>
      </c>
      <c r="C10" s="658" t="str">
        <f>Translations!$B$465</f>
        <v>В Директива 2003/87/ЕО, последно изменена с Директива 2009/29/ЕО (наричана тук „Директивата за СТЕ на ЕС“), се изисква държавите членки да предоставят безплатно квоти за емисии на инсталации в съответствие с валидни за цялата Общност и напълно хармонизирани правила (член 10а, параграф 1). Директивата може да бъде изтеглена от:</v>
      </c>
      <c r="D10" s="667"/>
      <c r="E10" s="667"/>
      <c r="F10" s="667"/>
      <c r="G10" s="667"/>
      <c r="H10" s="667"/>
      <c r="I10" s="667"/>
      <c r="J10" s="667"/>
      <c r="K10" s="667"/>
      <c r="L10" s="667"/>
      <c r="M10" s="7"/>
      <c r="O10" s="478"/>
      <c r="P10" s="478"/>
      <c r="Q10" s="478"/>
      <c r="R10" s="478"/>
      <c r="S10" s="478"/>
      <c r="T10" s="478"/>
      <c r="U10" s="478"/>
      <c r="V10" s="478"/>
      <c r="W10" s="478"/>
      <c r="X10" s="478"/>
    </row>
    <row r="11" spans="2:24" s="482" customFormat="1" ht="12.75">
      <c r="B11" s="88"/>
      <c r="C11" s="669" t="str">
        <f>Translations!$B$294</f>
        <v>http://eur-lex.europa.eu/LexUriServ/LexUriServ.do?uri=CONSLEG:2007D0076:20090625:BG:PDF</v>
      </c>
      <c r="D11" s="670"/>
      <c r="E11" s="670"/>
      <c r="F11" s="670"/>
      <c r="G11" s="670"/>
      <c r="H11" s="670"/>
      <c r="I11" s="670"/>
      <c r="J11" s="670"/>
      <c r="K11" s="670"/>
      <c r="L11" s="670"/>
      <c r="M11" s="7"/>
      <c r="O11" s="478"/>
      <c r="P11" s="478"/>
      <c r="Q11" s="478"/>
      <c r="R11" s="478"/>
      <c r="S11" s="478"/>
      <c r="T11" s="478"/>
      <c r="U11" s="478"/>
      <c r="V11" s="478"/>
      <c r="W11" s="478"/>
      <c r="X11" s="478"/>
    </row>
    <row r="12" spans="2:24" s="482" customFormat="1" ht="27" customHeight="1">
      <c r="B12" s="183">
        <f>B10+1</f>
        <v>2</v>
      </c>
      <c r="C12" s="658" t="str">
        <f>Translations!$B$466</f>
        <v>Тези валидни за цялата Общност мерки за изпълнение (наричани по-долу „МИ“) са публикувани като Решение 2011/278/ЕС на Комисията и могат да бъдат изтеглени от: </v>
      </c>
      <c r="D12" s="667"/>
      <c r="E12" s="667"/>
      <c r="F12" s="667"/>
      <c r="G12" s="667"/>
      <c r="H12" s="667"/>
      <c r="I12" s="667"/>
      <c r="J12" s="667"/>
      <c r="K12" s="667"/>
      <c r="L12" s="667"/>
      <c r="M12" s="7"/>
      <c r="O12" s="478"/>
      <c r="P12" s="478"/>
      <c r="Q12" s="478"/>
      <c r="R12" s="478"/>
      <c r="S12" s="478"/>
      <c r="T12" s="478"/>
      <c r="U12" s="478"/>
      <c r="V12" s="478"/>
      <c r="W12" s="478"/>
      <c r="X12" s="478"/>
    </row>
    <row r="13" spans="2:24" s="482" customFormat="1" ht="12.75">
      <c r="B13" s="88"/>
      <c r="C13" s="669" t="str">
        <f>Translations!$B$467</f>
        <v>http://eur-lex.europa.eu/LexUriServ/LexUriServ.do?uri=CONSLEG:2011D0278:20111117:EN:PDF </v>
      </c>
      <c r="D13" s="670"/>
      <c r="E13" s="670"/>
      <c r="F13" s="670"/>
      <c r="G13" s="670"/>
      <c r="H13" s="670"/>
      <c r="I13" s="670"/>
      <c r="J13" s="670"/>
      <c r="K13" s="670"/>
      <c r="L13" s="670"/>
      <c r="M13" s="7"/>
      <c r="O13" s="478"/>
      <c r="P13" s="478"/>
      <c r="Q13" s="478"/>
      <c r="R13" s="478"/>
      <c r="S13" s="478"/>
      <c r="T13" s="478"/>
      <c r="U13" s="478"/>
      <c r="V13" s="478"/>
      <c r="W13" s="478"/>
      <c r="X13" s="478"/>
    </row>
    <row r="14" spans="2:24" s="482" customFormat="1" ht="58.5" customHeight="1">
      <c r="B14" s="183">
        <f>B12+1</f>
        <v>3</v>
      </c>
      <c r="C14" s="671" t="str">
        <f>Translations!$B$548</f>
        <v>В хармонизираните Общностни мерки за изпълнение (CIMs) не са включени изрични разпоредби относно сливания и разделяния на инсталации. Поради това общовалидното правило е, че всяка промяна в безплатно предоставяните квоти за емисии след сливане или разделяне на инсталации следва да се прави в съответствие с предвидените в CIMs разпоредби за нови участници и закривания (NEC).</v>
      </c>
      <c r="D14" s="672"/>
      <c r="E14" s="672"/>
      <c r="F14" s="672"/>
      <c r="G14" s="672"/>
      <c r="H14" s="672"/>
      <c r="I14" s="672"/>
      <c r="J14" s="672"/>
      <c r="K14" s="672"/>
      <c r="L14" s="672"/>
      <c r="M14" s="7"/>
      <c r="O14" s="478"/>
      <c r="P14" s="478"/>
      <c r="Q14" s="478"/>
      <c r="R14" s="478"/>
      <c r="S14" s="478"/>
      <c r="T14" s="478"/>
      <c r="U14" s="478"/>
      <c r="V14" s="478"/>
      <c r="W14" s="478"/>
      <c r="X14" s="478"/>
    </row>
    <row r="15" spans="2:24" s="482" customFormat="1" ht="29.25" customHeight="1">
      <c r="B15" s="183"/>
      <c r="C15" s="658" t="str">
        <f>Translations!$B$549</f>
        <v>Съгласно рамковата нормативна уредба за хармонизираните правила за разпределение на квоти и когато са изпълнени условията, определящи значителна промяна в капацитета:</v>
      </c>
      <c r="D15" s="658"/>
      <c r="E15" s="658"/>
      <c r="F15" s="658"/>
      <c r="G15" s="658"/>
      <c r="H15" s="658"/>
      <c r="I15" s="658"/>
      <c r="J15" s="658"/>
      <c r="K15" s="658"/>
      <c r="L15" s="658"/>
      <c r="M15" s="7"/>
      <c r="O15" s="478"/>
      <c r="P15" s="478"/>
      <c r="Q15" s="478"/>
      <c r="R15" s="478"/>
      <c r="S15" s="478"/>
      <c r="T15" s="478"/>
      <c r="U15" s="478"/>
      <c r="V15" s="478"/>
      <c r="W15" s="478"/>
      <c r="X15" s="478"/>
    </row>
    <row r="16" spans="2:24" s="482" customFormat="1" ht="39.75" customHeight="1">
      <c r="B16" s="183"/>
      <c r="C16" s="472" t="s">
        <v>285</v>
      </c>
      <c r="D16" s="658" t="str">
        <f>Translations!$B$550</f>
        <v>Сливане на две инсталации се оформя като спиране на дейността на една от инсталациите и увеличаване на производствения капацитет на другата инсталация.</v>
      </c>
      <c r="E16" s="658"/>
      <c r="F16" s="658"/>
      <c r="G16" s="658"/>
      <c r="H16" s="658"/>
      <c r="I16" s="658"/>
      <c r="J16" s="658"/>
      <c r="K16" s="658"/>
      <c r="L16" s="658"/>
      <c r="M16" s="7"/>
      <c r="O16" s="478"/>
      <c r="P16" s="478"/>
      <c r="Q16" s="478"/>
      <c r="R16" s="478"/>
      <c r="S16" s="478"/>
      <c r="T16" s="478"/>
      <c r="U16" s="478"/>
      <c r="V16" s="478"/>
      <c r="W16" s="478"/>
      <c r="X16" s="478"/>
    </row>
    <row r="17" spans="2:24" s="482" customFormat="1" ht="38.25" customHeight="1">
      <c r="B17" s="183"/>
      <c r="C17" s="472" t="s">
        <v>285</v>
      </c>
      <c r="D17" s="658" t="str">
        <f>Translations!$B$551</f>
        <v>Разделяне на една инсталация на две (или повече) инсталации следва да се оформя като значително намаление на капацитета на първоначалната инсталация и поява на един (или повече)  нови участници (разглеждат се като новопоявили се — „greenfield“).</v>
      </c>
      <c r="E17" s="658"/>
      <c r="F17" s="658"/>
      <c r="G17" s="658"/>
      <c r="H17" s="658"/>
      <c r="I17" s="658"/>
      <c r="J17" s="658"/>
      <c r="K17" s="658"/>
      <c r="L17" s="658"/>
      <c r="M17" s="7"/>
      <c r="O17" s="478"/>
      <c r="P17" s="478"/>
      <c r="Q17" s="478"/>
      <c r="R17" s="478"/>
      <c r="S17" s="478"/>
      <c r="T17" s="478"/>
      <c r="U17" s="478"/>
      <c r="V17" s="478"/>
      <c r="W17" s="478"/>
      <c r="X17" s="478"/>
    </row>
    <row r="18" spans="2:24" s="482" customFormat="1" ht="28.5" customHeight="1">
      <c r="B18" s="183">
        <v>4</v>
      </c>
      <c r="C18" s="671" t="str">
        <f>Translations!$B$552</f>
        <v>Операторите трябва да докладват за такива промени в съответствие с нормалната процедура за нови участници и закривания и съответните разпоредби в CIMs.</v>
      </c>
      <c r="D18" s="671"/>
      <c r="E18" s="671"/>
      <c r="F18" s="671"/>
      <c r="G18" s="671"/>
      <c r="H18" s="671"/>
      <c r="I18" s="671"/>
      <c r="J18" s="671"/>
      <c r="K18" s="671"/>
      <c r="L18" s="671"/>
      <c r="M18" s="7"/>
      <c r="O18" s="478"/>
      <c r="P18" s="478"/>
      <c r="Q18" s="478"/>
      <c r="R18" s="478"/>
      <c r="S18" s="478"/>
      <c r="T18" s="478"/>
      <c r="U18" s="478"/>
      <c r="V18" s="478"/>
      <c r="W18" s="478"/>
      <c r="X18" s="478"/>
    </row>
    <row r="19" spans="2:24" s="482" customFormat="1" ht="59.25" customHeight="1">
      <c r="B19" s="183">
        <v>5</v>
      </c>
      <c r="C19" s="658" t="str">
        <f>Translations!$B$553</f>
        <v>Във връзка с горепосоченото, независимо от факта, че сливанията и разделянията са сравнително обичайни административни процедури в промишления сектор, дължащи се на промени в собствеността, в контекста на безплатното предоставяне на квоти за емисии в рамките на СТЕ на ЕС е необходимо те да бъдат разглеждани в съответствие с хармонизираните правила за разпределение на квоти, т.е. посредством нови участници (новопоявили се инсталации), значителни промени в капацитета и спирания на дейности.</v>
      </c>
      <c r="D19" s="667"/>
      <c r="E19" s="667"/>
      <c r="F19" s="667"/>
      <c r="G19" s="667"/>
      <c r="H19" s="667"/>
      <c r="I19" s="667"/>
      <c r="J19" s="667"/>
      <c r="K19" s="667"/>
      <c r="L19" s="667"/>
      <c r="M19" s="7"/>
      <c r="O19" s="478"/>
      <c r="P19" s="478"/>
      <c r="Q19" s="478"/>
      <c r="R19" s="478"/>
      <c r="S19" s="478"/>
      <c r="T19" s="478"/>
      <c r="U19" s="478"/>
      <c r="V19" s="478"/>
      <c r="W19" s="478"/>
      <c r="X19" s="478"/>
    </row>
    <row r="20" spans="2:24" s="482" customFormat="1" ht="30" customHeight="1">
      <c r="B20" s="183">
        <v>6</v>
      </c>
      <c r="C20" s="671" t="str">
        <f>Translations!$B$554</f>
        <v>Въпреки това, някои други промени в разпределението на квоти след сливане или разделяне могат също да бъдат в съответствие с хармонизираните правила за разпределение на квоти, ако са изпълнени известни условия, както следва:</v>
      </c>
      <c r="D20" s="672"/>
      <c r="E20" s="672"/>
      <c r="F20" s="672"/>
      <c r="G20" s="672"/>
      <c r="H20" s="672"/>
      <c r="I20" s="672"/>
      <c r="J20" s="672"/>
      <c r="K20" s="672"/>
      <c r="L20" s="672"/>
      <c r="M20" s="7"/>
      <c r="O20" s="478"/>
      <c r="P20" s="478"/>
      <c r="Q20" s="478"/>
      <c r="R20" s="478"/>
      <c r="S20" s="478"/>
      <c r="T20" s="478"/>
      <c r="U20" s="478"/>
      <c r="V20" s="478"/>
      <c r="W20" s="478"/>
      <c r="X20" s="478"/>
    </row>
    <row r="21" spans="2:24" s="482" customFormat="1" ht="25.5" customHeight="1">
      <c r="B21" s="183"/>
      <c r="C21" s="472" t="s">
        <v>285</v>
      </c>
      <c r="D21" s="658" t="str">
        <f>Translations!$B$555</f>
        <v>Инсталациите трябва да са в обхвата на СТЕ и да имат разрешителни за емисии на парникови газове както преди, така и след настъпването на сливането или разделянето</v>
      </c>
      <c r="E21" s="658"/>
      <c r="F21" s="658"/>
      <c r="G21" s="658"/>
      <c r="H21" s="658"/>
      <c r="I21" s="658"/>
      <c r="J21" s="658"/>
      <c r="K21" s="658"/>
      <c r="L21" s="658"/>
      <c r="M21" s="7"/>
      <c r="O21" s="478"/>
      <c r="P21" s="478"/>
      <c r="Q21" s="478"/>
      <c r="R21" s="478"/>
      <c r="S21" s="478"/>
      <c r="T21" s="478"/>
      <c r="U21" s="478"/>
      <c r="V21" s="478"/>
      <c r="W21" s="478"/>
      <c r="X21" s="478"/>
    </row>
    <row r="22" spans="2:24" s="482" customFormat="1" ht="31.5" customHeight="1">
      <c r="B22" s="183"/>
      <c r="C22" s="472" t="s">
        <v>285</v>
      </c>
      <c r="D22" s="658" t="str">
        <f>Translations!$B$556</f>
        <v>Сливането или разделянето не може да доведе до предоставяне на повече квоти в сравнение с броя на квотите, докладван в Националната таблица за разпределение на квоти (NAT) преди сливането или разделянето</v>
      </c>
      <c r="E22" s="658"/>
      <c r="F22" s="658"/>
      <c r="G22" s="658"/>
      <c r="H22" s="658"/>
      <c r="I22" s="658"/>
      <c r="J22" s="658"/>
      <c r="K22" s="658"/>
      <c r="L22" s="658"/>
      <c r="M22" s="7"/>
      <c r="O22" s="478"/>
      <c r="P22" s="478"/>
      <c r="Q22" s="478"/>
      <c r="R22" s="478"/>
      <c r="S22" s="478"/>
      <c r="T22" s="478"/>
      <c r="U22" s="478"/>
      <c r="V22" s="478"/>
      <c r="W22" s="478"/>
      <c r="X22" s="478"/>
    </row>
    <row r="23" spans="2:24" s="482" customFormat="1" ht="45" customHeight="1">
      <c r="B23" s="183"/>
      <c r="C23" s="472" t="s">
        <v>285</v>
      </c>
      <c r="D23" s="658" t="str">
        <f>Translations!$B$557</f>
        <v>В случай на сливане на инсталации, в съответствие с член 3, буква д) от Директива 2003/87/ЕО, сливането трябва да се отнася за инсталации, които са технически свързани, работят в един и същ промишлен обект и са обхванати от едно и също разрешително след като е настъпило сливането</v>
      </c>
      <c r="E23" s="658"/>
      <c r="F23" s="658"/>
      <c r="G23" s="658"/>
      <c r="H23" s="658"/>
      <c r="I23" s="658"/>
      <c r="J23" s="658"/>
      <c r="K23" s="658"/>
      <c r="L23" s="658"/>
      <c r="M23" s="7"/>
      <c r="O23" s="478"/>
      <c r="P23" s="478"/>
      <c r="Q23" s="478"/>
      <c r="R23" s="478"/>
      <c r="S23" s="478"/>
      <c r="T23" s="478"/>
      <c r="U23" s="478"/>
      <c r="V23" s="478"/>
      <c r="W23" s="478"/>
      <c r="X23" s="478"/>
    </row>
    <row r="24" spans="2:24" s="482" customFormat="1" ht="32.25" customHeight="1">
      <c r="B24" s="183"/>
      <c r="C24" s="472" t="s">
        <v>285</v>
      </c>
      <c r="D24" s="658" t="str">
        <f>Translations!$B$558</f>
        <v>Инсталацията (инсталациите), участващи в сливането или разделянето, са обхванати от едно и също разрешително за емисии на парникови газове, отразяващо техния нов статут</v>
      </c>
      <c r="E24" s="658"/>
      <c r="F24" s="658"/>
      <c r="G24" s="658"/>
      <c r="H24" s="658"/>
      <c r="I24" s="658"/>
      <c r="J24" s="658"/>
      <c r="K24" s="658"/>
      <c r="L24" s="658"/>
      <c r="M24" s="7"/>
      <c r="O24" s="478"/>
      <c r="P24" s="478"/>
      <c r="Q24" s="478"/>
      <c r="R24" s="478"/>
      <c r="S24" s="478"/>
      <c r="T24" s="478"/>
      <c r="U24" s="478"/>
      <c r="V24" s="478"/>
      <c r="W24" s="478"/>
      <c r="X24" s="478"/>
    </row>
    <row r="25" spans="2:24" s="482" customFormat="1" ht="12.75" customHeight="1">
      <c r="B25" s="183"/>
      <c r="C25" s="472"/>
      <c r="D25" s="239"/>
      <c r="E25" s="239"/>
      <c r="F25" s="239"/>
      <c r="G25" s="239"/>
      <c r="H25" s="239"/>
      <c r="I25" s="239"/>
      <c r="J25" s="239"/>
      <c r="K25" s="239"/>
      <c r="L25" s="239"/>
      <c r="M25" s="7"/>
      <c r="O25" s="478"/>
      <c r="P25" s="478"/>
      <c r="Q25" s="478"/>
      <c r="R25" s="478"/>
      <c r="S25" s="478"/>
      <c r="T25" s="478"/>
      <c r="U25" s="478"/>
      <c r="V25" s="478"/>
      <c r="W25" s="478"/>
      <c r="X25" s="478"/>
    </row>
    <row r="26" spans="2:24" s="482" customFormat="1" ht="43.5" customHeight="1">
      <c r="B26" s="183">
        <v>7</v>
      </c>
      <c r="C26" s="658" t="str">
        <f>Translations!$B$468</f>
        <v>Настоящият формуляр е разработен по поръчка на Комисията от консултант, (Umweltbundesamt GmbH, Австрия).
Изразените в настоящия файл гледни точки са на неговите автори и не отразяват задължително гледната точка на Европейската комисия. </v>
      </c>
      <c r="D26" s="668"/>
      <c r="E26" s="668"/>
      <c r="F26" s="668"/>
      <c r="G26" s="668"/>
      <c r="H26" s="668"/>
      <c r="I26" s="668"/>
      <c r="J26" s="668"/>
      <c r="K26" s="668"/>
      <c r="L26" s="668"/>
      <c r="M26" s="7"/>
      <c r="O26" s="478"/>
      <c r="P26" s="478"/>
      <c r="Q26" s="478"/>
      <c r="R26" s="478"/>
      <c r="S26" s="478"/>
      <c r="T26" s="478"/>
      <c r="U26" s="478"/>
      <c r="V26" s="478"/>
      <c r="W26" s="478"/>
      <c r="X26" s="478"/>
    </row>
    <row r="27" spans="2:24" s="482" customFormat="1" ht="34.5" customHeight="1">
      <c r="B27" s="183">
        <f>B26+1</f>
        <v>8</v>
      </c>
      <c r="C27" s="686" t="str">
        <f>Translations!B636</f>
        <v>Това е окончателната версия на настоящия формуляр, одобрена от Комитета по изменение на климата на 12 ноември 2015 г.</v>
      </c>
      <c r="D27" s="687"/>
      <c r="E27" s="687"/>
      <c r="F27" s="687"/>
      <c r="G27" s="687"/>
      <c r="H27" s="687"/>
      <c r="I27" s="687"/>
      <c r="J27" s="687"/>
      <c r="K27" s="687"/>
      <c r="L27" s="687"/>
      <c r="M27" s="7"/>
      <c r="O27" s="478"/>
      <c r="P27" s="478"/>
      <c r="Q27" s="478"/>
      <c r="R27" s="478"/>
      <c r="S27" s="478"/>
      <c r="T27" s="478"/>
      <c r="U27" s="478"/>
      <c r="V27" s="478"/>
      <c r="W27" s="478"/>
      <c r="X27" s="478"/>
    </row>
    <row r="28" spans="2:24" s="482" customFormat="1" ht="12.75">
      <c r="B28" s="88"/>
      <c r="C28" s="88"/>
      <c r="D28" s="88"/>
      <c r="E28" s="88"/>
      <c r="F28" s="88"/>
      <c r="G28" s="88"/>
      <c r="H28" s="88"/>
      <c r="I28" s="88"/>
      <c r="J28" s="88"/>
      <c r="K28" s="19"/>
      <c r="L28" s="19"/>
      <c r="M28" s="7"/>
      <c r="O28" s="478"/>
      <c r="P28" s="478"/>
      <c r="Q28" s="478"/>
      <c r="R28" s="478"/>
      <c r="S28" s="478"/>
      <c r="T28" s="478"/>
      <c r="U28" s="478"/>
      <c r="V28" s="478"/>
      <c r="W28" s="478"/>
      <c r="X28" s="478"/>
    </row>
    <row r="29" spans="2:24" s="482" customFormat="1" ht="15.75">
      <c r="B29" s="12"/>
      <c r="C29" s="666" t="str">
        <f>Translations!$B$295</f>
        <v>Как да се използва настоящият файл:</v>
      </c>
      <c r="D29" s="666"/>
      <c r="E29" s="666"/>
      <c r="F29" s="666"/>
      <c r="G29" s="666"/>
      <c r="H29" s="666"/>
      <c r="I29" s="666"/>
      <c r="J29" s="666"/>
      <c r="K29" s="666"/>
      <c r="L29" s="666"/>
      <c r="M29" s="7"/>
      <c r="O29" s="478"/>
      <c r="P29" s="478"/>
      <c r="Q29" s="478"/>
      <c r="R29" s="478"/>
      <c r="S29" s="478"/>
      <c r="T29" s="478"/>
      <c r="U29" s="478"/>
      <c r="V29" s="478"/>
      <c r="W29" s="478"/>
      <c r="X29" s="478"/>
    </row>
    <row r="30" spans="2:24" s="482" customFormat="1" ht="12.75">
      <c r="B30" s="88"/>
      <c r="C30" s="88"/>
      <c r="D30" s="88"/>
      <c r="E30" s="88"/>
      <c r="F30" s="88"/>
      <c r="G30" s="88"/>
      <c r="H30" s="88"/>
      <c r="I30" s="88"/>
      <c r="J30" s="88"/>
      <c r="K30" s="19"/>
      <c r="L30" s="19"/>
      <c r="M30" s="7"/>
      <c r="O30" s="478"/>
      <c r="P30" s="478"/>
      <c r="Q30" s="478"/>
      <c r="R30" s="478"/>
      <c r="S30" s="478"/>
      <c r="T30" s="478"/>
      <c r="U30" s="478"/>
      <c r="V30" s="478"/>
      <c r="W30" s="478"/>
      <c r="X30" s="478"/>
    </row>
    <row r="31" spans="2:24" s="482" customFormat="1" ht="18.75" customHeight="1">
      <c r="B31" s="183">
        <f>B27+1</f>
        <v>9</v>
      </c>
      <c r="C31" s="658" t="str">
        <f>Translations!$B$461</f>
        <v>Функцията за автоматично изчисляване (която се намира в менюто „Tools/Options“) трябва да e включена.</v>
      </c>
      <c r="D31" s="667"/>
      <c r="E31" s="667"/>
      <c r="F31" s="667"/>
      <c r="G31" s="667"/>
      <c r="H31" s="667"/>
      <c r="I31" s="667"/>
      <c r="J31" s="667"/>
      <c r="K31" s="667"/>
      <c r="L31" s="667"/>
      <c r="M31" s="7"/>
      <c r="O31" s="478"/>
      <c r="P31" s="478"/>
      <c r="Q31" s="478"/>
      <c r="R31" s="478"/>
      <c r="S31" s="478"/>
      <c r="T31" s="478"/>
      <c r="U31" s="478"/>
      <c r="V31" s="478"/>
      <c r="W31" s="478"/>
      <c r="X31" s="478"/>
    </row>
    <row r="32" spans="2:24" s="482" customFormat="1" ht="33.75" customHeight="1">
      <c r="B32" s="180"/>
      <c r="C32" s="658" t="str">
        <f>Translations!$B$559</f>
        <v>Препоръчва се да прегледате целия файл от началото до края. Има няколко функции, които ще Ви насочват във формуляра в зависимост от по-рано попълнени данни, като например промяна на цвета на клетките, в които не е необходимо въвеждане на данни (вж. цветовите кодове по-долу).</v>
      </c>
      <c r="D32" s="667"/>
      <c r="E32" s="667"/>
      <c r="F32" s="667"/>
      <c r="G32" s="667"/>
      <c r="H32" s="667"/>
      <c r="I32" s="667"/>
      <c r="J32" s="667"/>
      <c r="K32" s="667"/>
      <c r="L32" s="667"/>
      <c r="M32" s="7"/>
      <c r="O32" s="478"/>
      <c r="P32" s="478"/>
      <c r="Q32" s="478"/>
      <c r="R32" s="478"/>
      <c r="S32" s="478"/>
      <c r="T32" s="478"/>
      <c r="U32" s="478"/>
      <c r="V32" s="478"/>
      <c r="W32" s="478"/>
      <c r="X32" s="478"/>
    </row>
    <row r="33" spans="2:24" s="482" customFormat="1" ht="58.5" customHeight="1">
      <c r="B33" s="183"/>
      <c r="C33" s="658" t="str">
        <f>Translations!$B$296</f>
        <v>При докладване на нулева стойност би следвало тя да бъде въведена, а не клетката да се оставя празна. Ако дадена клетка остане празна, компетентният орган няма да знае точно дали съответната стойност е пропусната при докладването, дали отсъства, защото няма отношение към разглеждания случай или дали стойността ѝ е неизвестна. Необходимите за изчисленията стойности трябва винаги да се въвеждат (особено ако са нулеви стойности — защото някои от формулите не дават резултати, в случай че съответните клетки са празни).</v>
      </c>
      <c r="D33" s="667"/>
      <c r="E33" s="667"/>
      <c r="F33" s="667"/>
      <c r="G33" s="667"/>
      <c r="H33" s="667"/>
      <c r="I33" s="667"/>
      <c r="J33" s="667"/>
      <c r="K33" s="667"/>
      <c r="L33" s="667"/>
      <c r="M33" s="7"/>
      <c r="O33" s="478"/>
      <c r="P33" s="478"/>
      <c r="Q33" s="478"/>
      <c r="R33" s="478"/>
      <c r="S33" s="478"/>
      <c r="T33" s="478"/>
      <c r="U33" s="478"/>
      <c r="V33" s="478"/>
      <c r="W33" s="478"/>
      <c r="X33" s="478"/>
    </row>
    <row r="34" spans="2:24" s="482" customFormat="1" ht="58.5" customHeight="1">
      <c r="B34" s="183"/>
      <c r="C34" s="658" t="str">
        <f>Translations!$B$297</f>
        <v>В редица полета можете да избирате между предварително зададени входящи данни. За да избирате от такъв „падащ списък“, или щракнете с мишката върху малката стрелка, която се появява при дясната граница на клетката, или, когато сте избрали клетката, натиснете „Alt-стрелка надолу“. Някои полета Ви дават възможност да въвеждате Ваш собствен текст, дори и ако имат такъв падащ списък. В този случай падащите списъци съдържат в себе си празни позиции.</v>
      </c>
      <c r="D34" s="667"/>
      <c r="E34" s="667"/>
      <c r="F34" s="667"/>
      <c r="G34" s="667"/>
      <c r="H34" s="667"/>
      <c r="I34" s="667"/>
      <c r="J34" s="667"/>
      <c r="K34" s="667"/>
      <c r="L34" s="667"/>
      <c r="M34" s="7"/>
      <c r="O34" s="478"/>
      <c r="P34" s="478"/>
      <c r="Q34" s="478"/>
      <c r="R34" s="478"/>
      <c r="S34" s="478"/>
      <c r="T34" s="478"/>
      <c r="U34" s="478"/>
      <c r="V34" s="478"/>
      <c r="W34" s="478"/>
      <c r="X34" s="478"/>
    </row>
    <row r="35" spans="2:24" s="482" customFormat="1" ht="45" customHeight="1">
      <c r="B35" s="183">
        <f>B31+1</f>
        <v>10</v>
      </c>
      <c r="C35" s="658" t="str">
        <f>Translations!$B$298</f>
        <v>При непълно въведени данни понякога се появяват съобщения за грешка. Липсата на такова съобщение, обаче, не представлява гаранция за правилни изчисления, тъй като не винаги е възможно да се провери пълнотата на въведените данни. Ако в зеленото поле не се появи резултат, може да се предположи, че някои данни все още липсват.</v>
      </c>
      <c r="D35" s="667"/>
      <c r="E35" s="667"/>
      <c r="F35" s="667"/>
      <c r="G35" s="667"/>
      <c r="H35" s="667"/>
      <c r="I35" s="667"/>
      <c r="J35" s="667"/>
      <c r="K35" s="667"/>
      <c r="L35" s="667"/>
      <c r="M35" s="7"/>
      <c r="O35" s="478"/>
      <c r="P35" s="478"/>
      <c r="Q35" s="478"/>
      <c r="R35" s="478"/>
      <c r="S35" s="478"/>
      <c r="T35" s="478"/>
      <c r="U35" s="478"/>
      <c r="V35" s="478"/>
      <c r="W35" s="478"/>
      <c r="X35" s="478"/>
    </row>
    <row r="36" spans="2:24" s="482" customFormat="1" ht="21.75" customHeight="1">
      <c r="B36" s="183"/>
      <c r="C36" s="658" t="str">
        <f>Translations!$B$299</f>
        <v>Обръщайте специално внимание на съответствието на данните с означените мерни единици.</v>
      </c>
      <c r="D36" s="667"/>
      <c r="E36" s="667"/>
      <c r="F36" s="667"/>
      <c r="G36" s="667"/>
      <c r="H36" s="667"/>
      <c r="I36" s="667"/>
      <c r="J36" s="667"/>
      <c r="K36" s="667"/>
      <c r="L36" s="667"/>
      <c r="M36" s="7"/>
      <c r="O36" s="478"/>
      <c r="P36" s="478"/>
      <c r="Q36" s="478"/>
      <c r="R36" s="478"/>
      <c r="S36" s="478"/>
      <c r="T36" s="478"/>
      <c r="U36" s="478"/>
      <c r="V36" s="478"/>
      <c r="W36" s="478"/>
      <c r="X36" s="478"/>
    </row>
    <row r="37" spans="2:24" s="482" customFormat="1" ht="12.75" customHeight="1">
      <c r="B37" s="183"/>
      <c r="C37" s="182" t="str">
        <f>Translations!$B$300</f>
        <v>Съобщенията за грешки са често много кратки поради ограниченото място. Най-важните от тях са:</v>
      </c>
      <c r="D37" s="19"/>
      <c r="E37" s="19"/>
      <c r="F37" s="19"/>
      <c r="G37" s="19"/>
      <c r="H37" s="19"/>
      <c r="I37" s="19"/>
      <c r="J37" s="19"/>
      <c r="K37" s="19"/>
      <c r="L37" s="19"/>
      <c r="M37" s="7"/>
      <c r="O37" s="478"/>
      <c r="P37" s="478"/>
      <c r="Q37" s="478"/>
      <c r="R37" s="478"/>
      <c r="S37" s="478"/>
      <c r="T37" s="478"/>
      <c r="U37" s="478"/>
      <c r="V37" s="478"/>
      <c r="W37" s="478"/>
      <c r="X37" s="478"/>
    </row>
    <row r="38" spans="2:24" s="482" customFormat="1" ht="25.5" customHeight="1">
      <c r="B38" s="183"/>
      <c r="C38" s="182"/>
      <c r="D38" s="184" t="str">
        <f>EUconst_Incomplete</f>
        <v>непълно!</v>
      </c>
      <c r="E38" s="679" t="str">
        <f>Translations!$B$301</f>
        <v>Означава, че данните са недостатъчни за изчислението (например липсва емисионен фактор за някоя от годините)</v>
      </c>
      <c r="F38" s="680"/>
      <c r="G38" s="680"/>
      <c r="H38" s="680"/>
      <c r="I38" s="680"/>
      <c r="J38" s="680"/>
      <c r="K38" s="680"/>
      <c r="L38" s="680"/>
      <c r="M38" s="7"/>
      <c r="O38" s="478"/>
      <c r="P38" s="478"/>
      <c r="Q38" s="478"/>
      <c r="R38" s="478"/>
      <c r="S38" s="478"/>
      <c r="T38" s="478"/>
      <c r="U38" s="478"/>
      <c r="V38" s="478"/>
      <c r="W38" s="478"/>
      <c r="X38" s="478"/>
    </row>
    <row r="39" spans="2:24" s="482" customFormat="1" ht="28.5" customHeight="1">
      <c r="B39" s="183"/>
      <c r="C39" s="182"/>
      <c r="D39" s="184" t="str">
        <f>EUconst_Inconsistent</f>
        <v>несъответствие!</v>
      </c>
      <c r="E39" s="679" t="str">
        <f>Translations!$B$302</f>
        <v>Избраните мерни единици са несъответстващи и изчисленията на база съответните входни данни ще дадат неверни резултати.</v>
      </c>
      <c r="F39" s="680"/>
      <c r="G39" s="680"/>
      <c r="H39" s="680"/>
      <c r="I39" s="680"/>
      <c r="J39" s="680"/>
      <c r="K39" s="680"/>
      <c r="L39" s="680"/>
      <c r="M39" s="7"/>
      <c r="O39" s="478"/>
      <c r="P39" s="478"/>
      <c r="Q39" s="478"/>
      <c r="R39" s="478"/>
      <c r="S39" s="478"/>
      <c r="T39" s="478"/>
      <c r="U39" s="478"/>
      <c r="V39" s="478"/>
      <c r="W39" s="478"/>
      <c r="X39" s="478"/>
    </row>
    <row r="40" spans="2:24" s="482" customFormat="1" ht="12.75" customHeight="1">
      <c r="B40" s="183"/>
      <c r="C40" s="182"/>
      <c r="D40" s="185" t="str">
        <f>Translations!$B$303</f>
        <v>Въведете данни в A.III.3 !</v>
      </c>
      <c r="E40" s="675" t="str">
        <f>Translations!$B$304</f>
        <v>Това са препратки към раздели от документа. Съобщението означава, че в посочените раздели липсват данни.</v>
      </c>
      <c r="F40" s="676"/>
      <c r="G40" s="676"/>
      <c r="H40" s="676"/>
      <c r="I40" s="676"/>
      <c r="J40" s="676"/>
      <c r="K40" s="676"/>
      <c r="L40" s="676"/>
      <c r="M40" s="7"/>
      <c r="O40" s="478"/>
      <c r="P40" s="478"/>
      <c r="Q40" s="478"/>
      <c r="R40" s="478"/>
      <c r="S40" s="478"/>
      <c r="T40" s="478"/>
      <c r="U40" s="478"/>
      <c r="V40" s="478"/>
      <c r="W40" s="478"/>
      <c r="X40" s="478"/>
    </row>
    <row r="41" spans="2:24" s="482" customFormat="1" ht="12.75" customHeight="1">
      <c r="B41" s="183"/>
      <c r="C41" s="182"/>
      <c r="D41" s="186" t="s">
        <v>253</v>
      </c>
      <c r="E41" s="677"/>
      <c r="F41" s="678"/>
      <c r="G41" s="678"/>
      <c r="H41" s="678"/>
      <c r="I41" s="678"/>
      <c r="J41" s="678"/>
      <c r="K41" s="678"/>
      <c r="L41" s="678"/>
      <c r="M41" s="7"/>
      <c r="O41" s="478"/>
      <c r="P41" s="478"/>
      <c r="Q41" s="478"/>
      <c r="R41" s="478"/>
      <c r="S41" s="478"/>
      <c r="T41" s="478"/>
      <c r="U41" s="478"/>
      <c r="V41" s="478"/>
      <c r="W41" s="478"/>
      <c r="X41" s="478"/>
    </row>
    <row r="42" spans="2:24" s="482" customFormat="1" ht="12.75" customHeight="1">
      <c r="B42" s="183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7"/>
      <c r="O42" s="478"/>
      <c r="P42" s="478"/>
      <c r="Q42" s="478"/>
      <c r="R42" s="478"/>
      <c r="S42" s="478"/>
      <c r="T42" s="478"/>
      <c r="U42" s="478"/>
      <c r="V42" s="478"/>
      <c r="W42" s="478"/>
      <c r="X42" s="478"/>
    </row>
    <row r="43" spans="2:24" s="471" customFormat="1" ht="20.25" customHeight="1">
      <c r="B43" s="183">
        <f>B35+1</f>
        <v>11</v>
      </c>
      <c r="C43" s="703" t="str">
        <f>Translations!$B$305</f>
        <v>Цветови кодове и шрифтове:</v>
      </c>
      <c r="D43" s="688"/>
      <c r="E43" s="688"/>
      <c r="F43" s="688"/>
      <c r="G43" s="688"/>
      <c r="H43" s="688"/>
      <c r="I43" s="688"/>
      <c r="J43" s="688"/>
      <c r="K43" s="688"/>
      <c r="L43" s="688"/>
      <c r="M43" s="95"/>
      <c r="O43" s="479"/>
      <c r="P43" s="479"/>
      <c r="Q43" s="479"/>
      <c r="R43" s="479"/>
      <c r="S43" s="479"/>
      <c r="T43" s="479"/>
      <c r="U43" s="479"/>
      <c r="V43" s="479"/>
      <c r="W43" s="479"/>
      <c r="X43" s="479"/>
    </row>
    <row r="44" spans="2:24" s="471" customFormat="1" ht="12.75" customHeight="1">
      <c r="B44" s="94"/>
      <c r="C44" s="689" t="str">
        <f>Translations!$B$306</f>
        <v>Черен удебелен текст:</v>
      </c>
      <c r="D44" s="688"/>
      <c r="E44" s="659" t="str">
        <f>Translations!$B$307</f>
        <v>Това е текст, описващ необходимото въвеждане на входни данни.</v>
      </c>
      <c r="F44" s="659"/>
      <c r="G44" s="659"/>
      <c r="H44" s="659"/>
      <c r="I44" s="659"/>
      <c r="J44" s="659"/>
      <c r="K44" s="659"/>
      <c r="L44" s="660"/>
      <c r="M44" s="95"/>
      <c r="O44" s="479"/>
      <c r="P44" s="479"/>
      <c r="Q44" s="479"/>
      <c r="R44" s="479"/>
      <c r="S44" s="479"/>
      <c r="T44" s="479"/>
      <c r="U44" s="479"/>
      <c r="V44" s="479"/>
      <c r="W44" s="479"/>
      <c r="X44" s="479"/>
    </row>
    <row r="45" spans="2:24" s="471" customFormat="1" ht="12.75">
      <c r="B45" s="94"/>
      <c r="C45" s="690" t="str">
        <f>Translations!$B$308</f>
        <v>Дребен текст в курсив:</v>
      </c>
      <c r="D45" s="691"/>
      <c r="E45" s="659" t="str">
        <f>Translations!$B$309</f>
        <v>С такъв вид текст са дадени допълнителни пояснения. </v>
      </c>
      <c r="F45" s="659"/>
      <c r="G45" s="659"/>
      <c r="H45" s="659"/>
      <c r="I45" s="659"/>
      <c r="J45" s="659"/>
      <c r="K45" s="659"/>
      <c r="L45" s="660"/>
      <c r="M45" s="95"/>
      <c r="O45" s="479"/>
      <c r="P45" s="479"/>
      <c r="Q45" s="479"/>
      <c r="R45" s="479"/>
      <c r="S45" s="479"/>
      <c r="T45" s="479"/>
      <c r="U45" s="479"/>
      <c r="V45" s="479"/>
      <c r="W45" s="479"/>
      <c r="X45" s="479"/>
    </row>
    <row r="46" spans="2:24" s="471" customFormat="1" ht="27" customHeight="1">
      <c r="B46" s="94"/>
      <c r="C46" s="692"/>
      <c r="D46" s="682"/>
      <c r="E46" s="659" t="str">
        <f>Translations!$B$310</f>
        <v>Жълтите полета означават, че въвеждането на съответните данни е задължително. Но в случай че съответният въпрос няма отношение към инсталацията, не се изисква въвеждане на входни данни.</v>
      </c>
      <c r="F46" s="659"/>
      <c r="G46" s="659"/>
      <c r="H46" s="659"/>
      <c r="I46" s="659"/>
      <c r="J46" s="659"/>
      <c r="K46" s="659"/>
      <c r="L46" s="660"/>
      <c r="M46" s="95"/>
      <c r="O46" s="479"/>
      <c r="P46" s="479"/>
      <c r="Q46" s="479"/>
      <c r="R46" s="479"/>
      <c r="S46" s="479"/>
      <c r="T46" s="479"/>
      <c r="U46" s="479"/>
      <c r="V46" s="479"/>
      <c r="W46" s="479"/>
      <c r="X46" s="479"/>
    </row>
    <row r="47" spans="2:24" s="471" customFormat="1" ht="18.75" customHeight="1">
      <c r="B47" s="94"/>
      <c r="C47" s="681"/>
      <c r="D47" s="682"/>
      <c r="E47" s="699" t="str">
        <f>Translations!$B$311</f>
        <v>Светложълтите полета означават, че въвеждането на входни данни не е задължително.</v>
      </c>
      <c r="F47" s="688"/>
      <c r="G47" s="688"/>
      <c r="H47" s="688"/>
      <c r="I47" s="688"/>
      <c r="J47" s="688"/>
      <c r="K47" s="688"/>
      <c r="L47" s="688"/>
      <c r="M47" s="95"/>
      <c r="O47" s="479"/>
      <c r="P47" s="479"/>
      <c r="Q47" s="479"/>
      <c r="R47" s="479"/>
      <c r="S47" s="479"/>
      <c r="T47" s="479"/>
      <c r="U47" s="479"/>
      <c r="V47" s="479"/>
      <c r="W47" s="479"/>
      <c r="X47" s="479"/>
    </row>
    <row r="48" spans="2:24" s="471" customFormat="1" ht="29.25" customHeight="1">
      <c r="B48" s="94"/>
      <c r="C48" s="683"/>
      <c r="D48" s="674"/>
      <c r="E48" s="699" t="str">
        <f>Translations!$B$312</f>
        <v>Зеленият цвят на полетата показва, че в тях има автоматично изчислени резултати. Червеният текст е използван за съобщения за грешка (липсващи данни и др.).</v>
      </c>
      <c r="F48" s="688"/>
      <c r="G48" s="688"/>
      <c r="H48" s="688"/>
      <c r="I48" s="688"/>
      <c r="J48" s="688"/>
      <c r="K48" s="688"/>
      <c r="L48" s="688"/>
      <c r="M48" s="95"/>
      <c r="O48" s="479"/>
      <c r="P48" s="479"/>
      <c r="Q48" s="479"/>
      <c r="R48" s="479"/>
      <c r="S48" s="479"/>
      <c r="T48" s="479"/>
      <c r="U48" s="479"/>
      <c r="V48" s="479"/>
      <c r="W48" s="479"/>
      <c r="X48" s="479"/>
    </row>
    <row r="49" spans="2:24" s="471" customFormat="1" ht="31.5" customHeight="1">
      <c r="B49" s="94"/>
      <c r="C49" s="673"/>
      <c r="D49" s="674"/>
      <c r="E49" s="659" t="str">
        <f>Translations!$B$313</f>
        <v>Затъмняването на полета показва, че в тях не следва да се въвеждат данни — поради наличието на въведени данни в друго поле.</v>
      </c>
      <c r="F49" s="659"/>
      <c r="G49" s="659"/>
      <c r="H49" s="659"/>
      <c r="I49" s="659"/>
      <c r="J49" s="659"/>
      <c r="K49" s="659"/>
      <c r="L49" s="660"/>
      <c r="M49" s="95"/>
      <c r="O49" s="479"/>
      <c r="P49" s="479"/>
      <c r="Q49" s="479"/>
      <c r="R49" s="479"/>
      <c r="S49" s="479"/>
      <c r="T49" s="479"/>
      <c r="U49" s="479"/>
      <c r="V49" s="479"/>
      <c r="W49" s="479"/>
      <c r="X49" s="479"/>
    </row>
    <row r="50" spans="2:24" s="471" customFormat="1" ht="30" customHeight="1">
      <c r="B50" s="94"/>
      <c r="C50" s="701"/>
      <c r="D50" s="701"/>
      <c r="E50" s="659" t="str">
        <f>Translations!$B$314</f>
        <v>Засивените зони следва да бъдат попълнени от държавите членки, преди да публикуват специфична за тях версия на формуляра.</v>
      </c>
      <c r="F50" s="688"/>
      <c r="G50" s="688"/>
      <c r="H50" s="688"/>
      <c r="I50" s="688"/>
      <c r="J50" s="688"/>
      <c r="K50" s="688"/>
      <c r="L50" s="688"/>
      <c r="M50" s="95"/>
      <c r="O50" s="479"/>
      <c r="P50" s="479"/>
      <c r="Q50" s="479"/>
      <c r="R50" s="479"/>
      <c r="S50" s="479"/>
      <c r="T50" s="479"/>
      <c r="U50" s="479"/>
      <c r="V50" s="479"/>
      <c r="W50" s="479"/>
      <c r="X50" s="479"/>
    </row>
    <row r="51" spans="2:24" s="471" customFormat="1" ht="21" customHeight="1">
      <c r="B51" s="94"/>
      <c r="C51" s="702"/>
      <c r="D51" s="702"/>
      <c r="E51" s="659" t="str">
        <f>Translations!$B$315</f>
        <v>Светло сивите зони са предназначени за придвижване и хипервръзки.</v>
      </c>
      <c r="F51" s="688"/>
      <c r="G51" s="688"/>
      <c r="H51" s="688"/>
      <c r="I51" s="688"/>
      <c r="J51" s="688"/>
      <c r="K51" s="688"/>
      <c r="L51" s="688"/>
      <c r="M51" s="95"/>
      <c r="O51" s="479"/>
      <c r="P51" s="479"/>
      <c r="Q51" s="479"/>
      <c r="R51" s="479"/>
      <c r="S51" s="479"/>
      <c r="T51" s="479"/>
      <c r="U51" s="479"/>
      <c r="V51" s="479"/>
      <c r="W51" s="479"/>
      <c r="X51" s="479"/>
    </row>
    <row r="52" spans="2:24" s="471" customFormat="1" ht="12.75">
      <c r="B52" s="94"/>
      <c r="C52" s="96"/>
      <c r="D52" s="97"/>
      <c r="E52" s="94"/>
      <c r="F52" s="94"/>
      <c r="G52" s="94"/>
      <c r="H52" s="94"/>
      <c r="I52" s="94"/>
      <c r="J52" s="94"/>
      <c r="K52" s="94"/>
      <c r="L52" s="95"/>
      <c r="M52" s="95"/>
      <c r="O52" s="479"/>
      <c r="P52" s="479"/>
      <c r="Q52" s="479"/>
      <c r="R52" s="479"/>
      <c r="S52" s="479"/>
      <c r="T52" s="479"/>
      <c r="U52" s="479"/>
      <c r="V52" s="479"/>
      <c r="W52" s="479"/>
      <c r="X52" s="479"/>
    </row>
    <row r="53" spans="2:24" s="482" customFormat="1" ht="70.5" customHeight="1">
      <c r="B53" s="183">
        <f>B43+1</f>
        <v>12</v>
      </c>
      <c r="C53" s="658" t="str">
        <f>Translations!$B$316</f>
        <v>В зоните с команди за придвижване, намиращи се най-отгоре на всеки работен лист (sheet) има хиперлинкове, даващи възможност за бързо прескачане в конкретни раздели за въвеждане на данни.   Първият ред в тях („Съдържание“, „Предишен работен лист“, „Следващ работен лист“, „Обобщение“), както и точките „Начало на работния лист“ и „Край на работния лист“ са едни и същи във всички работни листове.  В зависимост от конкретния работен лист, добавени са и допълнителни функции. Ако цветът на фона на някоя от зоните за хиперлинк почервенее, това показва че липсват данни в съответния раздел (не във всички работни листове).</v>
      </c>
      <c r="D53" s="667"/>
      <c r="E53" s="667"/>
      <c r="F53" s="667"/>
      <c r="G53" s="667"/>
      <c r="H53" s="667"/>
      <c r="I53" s="667"/>
      <c r="J53" s="667"/>
      <c r="K53" s="667"/>
      <c r="L53" s="667"/>
      <c r="M53" s="7"/>
      <c r="O53" s="478"/>
      <c r="P53" s="478"/>
      <c r="Q53" s="478"/>
      <c r="R53" s="478"/>
      <c r="S53" s="478"/>
      <c r="T53" s="478"/>
      <c r="U53" s="478"/>
      <c r="V53" s="478"/>
      <c r="W53" s="478"/>
      <c r="X53" s="478"/>
    </row>
    <row r="54" spans="2:24" s="482" customFormat="1" ht="65.25" customHeight="1">
      <c r="B54" s="183">
        <f>B53+1</f>
        <v>13</v>
      </c>
      <c r="C54" s="658" t="str">
        <f>Translations!$B$317</f>
        <v>Настоящият формуляр е заключен, за да се забрани въвеждане на данни на други места освен в жълтите полета. Все пак в интерес на прозрачността не е зададена парола. Това дава възможност да се видят всички формули. Препоръчително е при въвеждането на данни в настоящия файл защитата да остава включена. Снемане на защитата от работните листове би могло да се прави само при проверка на валидността на формулите. Препоръчително е това да се прави с отделен файл.</v>
      </c>
      <c r="D54" s="667"/>
      <c r="E54" s="667"/>
      <c r="F54" s="667"/>
      <c r="G54" s="667"/>
      <c r="H54" s="667"/>
      <c r="I54" s="667"/>
      <c r="J54" s="667"/>
      <c r="K54" s="667"/>
      <c r="L54" s="667"/>
      <c r="M54" s="7"/>
      <c r="O54" s="478"/>
      <c r="P54" s="478"/>
      <c r="Q54" s="478"/>
      <c r="R54" s="478"/>
      <c r="S54" s="478"/>
      <c r="T54" s="478"/>
      <c r="U54" s="478"/>
      <c r="V54" s="478"/>
      <c r="W54" s="478"/>
      <c r="X54" s="478"/>
    </row>
    <row r="55" spans="2:24" s="482" customFormat="1" ht="57.75" customHeight="1">
      <c r="B55" s="183">
        <f>B54+1</f>
        <v>14</v>
      </c>
      <c r="C55" s="709" t="str">
        <f>Translations!$B$318</f>
        <v>С цел защита на формулите от неволни изменения, които обикновено водят до грешни и заблуждаващи резултати, 
от първостепенна важност е ДА НЕ СЕ ИЗПОЛЗВАТ ФУНКЦИИТЕ ОТРЯЗВАНЕ И ПОСТАВЯНЕ (CUT &amp; PASTE).
Ако искате да преместите данни, първо ги КОПИРАЙТЕ (COPY) и ПОСТАВЕТЕ (PASTE), а след това изтрийте нежеланите данни от старото им (погрешно) място.</v>
      </c>
      <c r="D55" s="710"/>
      <c r="E55" s="710"/>
      <c r="F55" s="710"/>
      <c r="G55" s="710"/>
      <c r="H55" s="710"/>
      <c r="I55" s="710"/>
      <c r="J55" s="710"/>
      <c r="K55" s="710"/>
      <c r="L55" s="710"/>
      <c r="M55" s="7"/>
      <c r="O55" s="478"/>
      <c r="P55" s="478"/>
      <c r="Q55" s="478"/>
      <c r="R55" s="478"/>
      <c r="S55" s="478"/>
      <c r="T55" s="478"/>
      <c r="U55" s="478"/>
      <c r="V55" s="478"/>
      <c r="W55" s="478"/>
      <c r="X55" s="478"/>
    </row>
    <row r="56" spans="2:24" s="482" customFormat="1" ht="62.25" customHeight="1">
      <c r="B56" s="183">
        <f>B55+1</f>
        <v>15</v>
      </c>
      <c r="C56" s="658" t="str">
        <f>Translations!$B$319</f>
        <v>Полета за данни не са оптимизирани за числени и други формати. Но от друга страна, защитата на работните листове е ограничена, така че да имате възможност да използвате свои собствени формати. По-специално, може да изберете броя на показваните знаци след десетичната точка.  По принцип броят на тези знаци е независим от точността на изчислението. По принцип следва да бъде деактивирана опцията на Майкрософт Ексел „Точност съгласно показваното“.   За по-подробна информация вижте съответната точка от функцията „Помощ“ („Help“) на Майкрософт Ексел.</v>
      </c>
      <c r="D56" s="667"/>
      <c r="E56" s="667"/>
      <c r="F56" s="667"/>
      <c r="G56" s="667"/>
      <c r="H56" s="667"/>
      <c r="I56" s="667"/>
      <c r="J56" s="667"/>
      <c r="K56" s="667"/>
      <c r="L56" s="667"/>
      <c r="M56" s="7"/>
      <c r="O56" s="478"/>
      <c r="P56" s="478"/>
      <c r="Q56" s="478"/>
      <c r="R56" s="478"/>
      <c r="S56" s="478"/>
      <c r="T56" s="478"/>
      <c r="U56" s="478"/>
      <c r="V56" s="478"/>
      <c r="W56" s="478"/>
      <c r="X56" s="478"/>
    </row>
    <row r="57" spans="2:24" s="482" customFormat="1" ht="12.75" customHeight="1" thickBot="1">
      <c r="B57" s="180"/>
      <c r="C57" s="658"/>
      <c r="D57" s="667"/>
      <c r="E57" s="667"/>
      <c r="F57" s="667"/>
      <c r="G57" s="667"/>
      <c r="H57" s="667"/>
      <c r="I57" s="667"/>
      <c r="J57" s="667"/>
      <c r="K57" s="667"/>
      <c r="L57" s="667"/>
      <c r="M57" s="7"/>
      <c r="O57" s="478"/>
      <c r="P57" s="478"/>
      <c r="Q57" s="478"/>
      <c r="R57" s="478"/>
      <c r="S57" s="478"/>
      <c r="T57" s="478"/>
      <c r="U57" s="478"/>
      <c r="V57" s="478"/>
      <c r="W57" s="478"/>
      <c r="X57" s="478"/>
    </row>
    <row r="58" spans="2:24" s="482" customFormat="1" ht="108" customHeight="1" thickBot="1">
      <c r="B58" s="183">
        <f>B56+1</f>
        <v>16</v>
      </c>
      <c r="C58" s="693" t="str">
        <f>Translations!$B$320</f>
        <v>ДЕКЛАРАЦИЯ ЗА ОТКАЗ ОТ ОТГОВОРНОСТ: Всички формули са разработени внимателно и изчерпателно. Въпреки това, невъзможно е да се изключи изцяло вероятността от поява на грешки.
Както е посочено по-горе, осигурена е пълна прозрачност за проверка на правилността на изчисленията. Както авторите на настоящия файл, така също и Европейската комисия не носят отговорност за грешни или заблуждаващи резултати от изпълняваните чрез файла изчисления.   
Потребителят на настоящия файл (т.е. операторът на съответната инсталация в рамките на Европейската схема за търговия с емисии) носи пълна отговорност за осигуряване на докладването на верни данни на съответния компетентен орган.</v>
      </c>
      <c r="D58" s="694"/>
      <c r="E58" s="694"/>
      <c r="F58" s="694"/>
      <c r="G58" s="694"/>
      <c r="H58" s="694"/>
      <c r="I58" s="694"/>
      <c r="J58" s="694"/>
      <c r="K58" s="694"/>
      <c r="L58" s="695"/>
      <c r="M58" s="7"/>
      <c r="O58" s="478"/>
      <c r="P58" s="478"/>
      <c r="Q58" s="478"/>
      <c r="R58" s="478"/>
      <c r="S58" s="478"/>
      <c r="T58" s="478"/>
      <c r="U58" s="478"/>
      <c r="V58" s="478"/>
      <c r="W58" s="478"/>
      <c r="X58" s="478"/>
    </row>
    <row r="59" spans="2:13" ht="12.7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6"/>
      <c r="M59" s="86"/>
    </row>
    <row r="60" spans="2:13" ht="12.7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6"/>
      <c r="M60" s="86"/>
    </row>
    <row r="61" spans="2:24" s="482" customFormat="1" ht="15.75">
      <c r="B61" s="12"/>
      <c r="C61" s="666" t="str">
        <f>Translations!$B$321</f>
        <v>Специфична информация за съответната държава-членка</v>
      </c>
      <c r="D61" s="666"/>
      <c r="E61" s="666"/>
      <c r="F61" s="666"/>
      <c r="G61" s="666"/>
      <c r="H61" s="666"/>
      <c r="I61" s="666"/>
      <c r="J61" s="666"/>
      <c r="K61" s="666"/>
      <c r="L61" s="666"/>
      <c r="M61" s="7"/>
      <c r="O61" s="478"/>
      <c r="P61" s="478"/>
      <c r="Q61" s="478"/>
      <c r="R61" s="478"/>
      <c r="S61" s="478"/>
      <c r="T61" s="478"/>
      <c r="U61" s="478"/>
      <c r="V61" s="478"/>
      <c r="W61" s="478"/>
      <c r="X61" s="478"/>
    </row>
    <row r="62" spans="2:24" s="482" customFormat="1" ht="12.75">
      <c r="B62" s="88"/>
      <c r="C62" s="88"/>
      <c r="D62" s="88"/>
      <c r="E62" s="88"/>
      <c r="F62" s="88"/>
      <c r="G62" s="88"/>
      <c r="H62" s="88"/>
      <c r="I62" s="88"/>
      <c r="J62" s="88"/>
      <c r="K62" s="19"/>
      <c r="L62" s="19"/>
      <c r="M62" s="7"/>
      <c r="O62" s="478"/>
      <c r="P62" s="478"/>
      <c r="Q62" s="478"/>
      <c r="R62" s="478"/>
      <c r="S62" s="478"/>
      <c r="T62" s="478"/>
      <c r="U62" s="478"/>
      <c r="V62" s="478"/>
      <c r="W62" s="478"/>
      <c r="X62" s="478"/>
    </row>
    <row r="63" spans="2:24" s="482" customFormat="1" ht="15" customHeight="1">
      <c r="B63" s="19"/>
      <c r="C63" s="685" t="str">
        <f>Translations!$B$322</f>
        <v>Настоящият доклад трябва да бъде представен на съответния компетентен орган на следния адрес:</v>
      </c>
      <c r="D63" s="685"/>
      <c r="E63" s="685"/>
      <c r="F63" s="685"/>
      <c r="G63" s="685"/>
      <c r="H63" s="685"/>
      <c r="I63" s="685"/>
      <c r="J63" s="685"/>
      <c r="K63" s="685"/>
      <c r="L63" s="685"/>
      <c r="M63" s="7"/>
      <c r="O63" s="478"/>
      <c r="P63" s="478"/>
      <c r="Q63" s="478"/>
      <c r="R63" s="478"/>
      <c r="S63" s="478"/>
      <c r="T63" s="478"/>
      <c r="U63" s="478"/>
      <c r="V63" s="478"/>
      <c r="W63" s="478"/>
      <c r="X63" s="478"/>
    </row>
    <row r="64" spans="2:13" ht="12.7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86"/>
    </row>
    <row r="65" spans="2:13" ht="12.75">
      <c r="B65" s="94"/>
      <c r="C65" s="94"/>
      <c r="D65" s="94"/>
      <c r="E65" s="711" t="str">
        <f>Translations!$B$323</f>
        <v>Министерство на околната среда и водите, Дирекция "Политика по изменение на климата", София 1000, бул. "Княгиня Мария Луиза" 22</v>
      </c>
      <c r="F65" s="712"/>
      <c r="G65" s="712"/>
      <c r="H65" s="713"/>
      <c r="I65" s="94"/>
      <c r="J65" s="94"/>
      <c r="K65" s="94"/>
      <c r="L65" s="95"/>
      <c r="M65" s="86"/>
    </row>
    <row r="66" spans="2:13" ht="12.75">
      <c r="B66" s="94"/>
      <c r="C66" s="94"/>
      <c r="D66" s="94"/>
      <c r="E66" s="714"/>
      <c r="F66" s="715"/>
      <c r="G66" s="715"/>
      <c r="H66" s="716"/>
      <c r="I66" s="94"/>
      <c r="J66" s="94"/>
      <c r="K66" s="94"/>
      <c r="L66" s="95"/>
      <c r="M66" s="86"/>
    </row>
    <row r="67" spans="2:13" ht="12.75">
      <c r="B67" s="94"/>
      <c r="C67" s="94"/>
      <c r="D67" s="94"/>
      <c r="E67" s="714"/>
      <c r="F67" s="715"/>
      <c r="G67" s="715"/>
      <c r="H67" s="716"/>
      <c r="I67" s="94"/>
      <c r="J67" s="94"/>
      <c r="K67" s="94"/>
      <c r="L67" s="95"/>
      <c r="M67" s="86"/>
    </row>
    <row r="68" spans="2:13" ht="9.75" customHeight="1">
      <c r="B68" s="94"/>
      <c r="C68" s="83"/>
      <c r="D68" s="94"/>
      <c r="E68" s="714"/>
      <c r="F68" s="715"/>
      <c r="G68" s="715"/>
      <c r="H68" s="716"/>
      <c r="I68" s="94"/>
      <c r="J68" s="94"/>
      <c r="K68" s="94"/>
      <c r="L68" s="95"/>
      <c r="M68" s="86"/>
    </row>
    <row r="69" spans="2:13" ht="12.75" hidden="1">
      <c r="B69" s="94"/>
      <c r="C69" s="94"/>
      <c r="D69" s="94"/>
      <c r="E69" s="714"/>
      <c r="F69" s="715"/>
      <c r="G69" s="715"/>
      <c r="H69" s="716"/>
      <c r="I69" s="94"/>
      <c r="J69" s="94"/>
      <c r="K69" s="94"/>
      <c r="L69" s="95"/>
      <c r="M69" s="86"/>
    </row>
    <row r="70" spans="2:13" ht="12.75" hidden="1">
      <c r="B70" s="94"/>
      <c r="C70" s="94"/>
      <c r="D70" s="94"/>
      <c r="E70" s="714"/>
      <c r="F70" s="715"/>
      <c r="G70" s="715"/>
      <c r="H70" s="716"/>
      <c r="I70" s="94"/>
      <c r="J70" s="94"/>
      <c r="K70" s="94"/>
      <c r="L70" s="95"/>
      <c r="M70" s="86"/>
    </row>
    <row r="71" spans="2:13" ht="13.5" customHeight="1" hidden="1">
      <c r="B71" s="94"/>
      <c r="C71" s="94"/>
      <c r="D71" s="94"/>
      <c r="E71" s="714"/>
      <c r="F71" s="715"/>
      <c r="G71" s="715"/>
      <c r="H71" s="716"/>
      <c r="I71" s="94"/>
      <c r="J71" s="94"/>
      <c r="K71" s="94"/>
      <c r="L71" s="95"/>
      <c r="M71" s="86"/>
    </row>
    <row r="72" spans="2:13" ht="0.75" customHeight="1">
      <c r="B72" s="94"/>
      <c r="C72" s="94"/>
      <c r="D72" s="94"/>
      <c r="E72" s="717"/>
      <c r="F72" s="718"/>
      <c r="G72" s="718"/>
      <c r="H72" s="719"/>
      <c r="I72" s="94"/>
      <c r="J72" s="94"/>
      <c r="K72" s="94"/>
      <c r="L72" s="95"/>
      <c r="M72" s="86"/>
    </row>
    <row r="73" spans="2:13" ht="12.7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5"/>
      <c r="M73" s="86"/>
    </row>
    <row r="74" spans="2:13" ht="12.7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6"/>
      <c r="M74" s="86"/>
    </row>
    <row r="75" spans="2:13" ht="15.75">
      <c r="B75" s="86"/>
      <c r="C75" s="700" t="str">
        <f>Translations!$B$324</f>
        <v>Източници на информация:</v>
      </c>
      <c r="D75" s="700"/>
      <c r="E75" s="700"/>
      <c r="F75" s="700"/>
      <c r="G75" s="700"/>
      <c r="H75" s="700"/>
      <c r="I75" s="700"/>
      <c r="J75" s="700"/>
      <c r="K75" s="700"/>
      <c r="L75" s="700"/>
      <c r="M75" s="86"/>
    </row>
    <row r="76" spans="2:13" ht="12.75">
      <c r="B76" s="86"/>
      <c r="C76" s="689" t="str">
        <f>Translations!$B$325</f>
        <v>Уебсайтове на ЕС:</v>
      </c>
      <c r="D76" s="688"/>
      <c r="E76" s="688"/>
      <c r="F76" s="688"/>
      <c r="G76" s="688"/>
      <c r="H76" s="688"/>
      <c r="I76" s="688"/>
      <c r="J76" s="688"/>
      <c r="K76" s="688"/>
      <c r="L76" s="688"/>
      <c r="M76" s="86"/>
    </row>
    <row r="77" spans="2:13" ht="12.75">
      <c r="B77" s="86"/>
      <c r="C77" s="685" t="str">
        <f>Translations!$B$326</f>
        <v>Законодателство на ЕС:</v>
      </c>
      <c r="D77" s="685"/>
      <c r="E77" s="707" t="str">
        <f>Translations!$B$327</f>
        <v>http://eur-lex.europa.eu/bg/index.htm</v>
      </c>
      <c r="F77" s="688"/>
      <c r="G77" s="688"/>
      <c r="H77" s="688"/>
      <c r="I77" s="688"/>
      <c r="J77" s="688"/>
      <c r="K77" s="688"/>
      <c r="L77" s="688"/>
      <c r="M77" s="86"/>
    </row>
    <row r="78" spans="2:13" ht="12.75">
      <c r="B78" s="86"/>
      <c r="C78" s="685" t="str">
        <f>Translations!$B$328</f>
        <v>Европейска схема за търговия с емисии – обща информация:</v>
      </c>
      <c r="D78" s="685"/>
      <c r="E78" s="707" t="str">
        <f>Translations!$B$329</f>
        <v>http://ec.europa.eu/clima/policies/ets/index_en.htm</v>
      </c>
      <c r="F78" s="688"/>
      <c r="G78" s="688"/>
      <c r="H78" s="688"/>
      <c r="I78" s="688"/>
      <c r="J78" s="688"/>
      <c r="K78" s="688"/>
      <c r="L78" s="688"/>
      <c r="M78" s="86"/>
    </row>
    <row r="79" spans="2:13" ht="12.75">
      <c r="B79" s="86"/>
      <c r="C79" s="720" t="str">
        <f>Translations!$B$469</f>
        <v>Документи с указания и формуляри, публикувани от Комисията относно правилата за разпределяне:</v>
      </c>
      <c r="D79" s="688"/>
      <c r="E79" s="688"/>
      <c r="F79" s="688"/>
      <c r="G79" s="688"/>
      <c r="H79" s="688"/>
      <c r="I79" s="688"/>
      <c r="J79" s="688"/>
      <c r="K79" s="688"/>
      <c r="L79" s="688"/>
      <c r="M79" s="86"/>
    </row>
    <row r="80" spans="2:13" ht="12.75">
      <c r="B80" s="86"/>
      <c r="C80" s="720"/>
      <c r="D80" s="685"/>
      <c r="E80" s="707" t="str">
        <f>Translations!$B$470</f>
        <v>http://ec.europa.eu/clima/policies/ets/benchmarking/documentation_en.htm</v>
      </c>
      <c r="F80" s="708"/>
      <c r="G80" s="708"/>
      <c r="H80" s="708"/>
      <c r="I80" s="708"/>
      <c r="J80" s="708"/>
      <c r="K80" s="708"/>
      <c r="L80" s="708"/>
      <c r="M80" s="86"/>
    </row>
    <row r="81" spans="2:13" ht="12.75">
      <c r="B81" s="83"/>
      <c r="C81" s="83"/>
      <c r="D81" s="181"/>
      <c r="E81" s="5"/>
      <c r="F81" s="5"/>
      <c r="G81" s="5"/>
      <c r="H81" s="5"/>
      <c r="I81" s="5"/>
      <c r="J81" s="83"/>
      <c r="K81" s="83"/>
      <c r="L81" s="86"/>
      <c r="M81" s="86"/>
    </row>
    <row r="82" spans="2:13" ht="12.75">
      <c r="B82" s="86"/>
      <c r="C82" s="689" t="str">
        <f>Translations!$B$330</f>
        <v>Други уебсайтове:</v>
      </c>
      <c r="D82" s="688"/>
      <c r="E82" s="688"/>
      <c r="F82" s="688"/>
      <c r="G82" s="688"/>
      <c r="H82" s="688"/>
      <c r="I82" s="688"/>
      <c r="J82" s="688"/>
      <c r="K82" s="688"/>
      <c r="L82" s="688"/>
      <c r="M82" s="86"/>
    </row>
    <row r="83" spans="2:13" ht="12.75">
      <c r="B83" s="86"/>
      <c r="C83" s="684" t="str">
        <f>Translations!$B$331</f>
        <v>Дирекция "Политика по изменение на климата", отдел "Прилагане на европейската политика по изменение на климата"</v>
      </c>
      <c r="D83" s="684"/>
      <c r="E83" s="684"/>
      <c r="F83" s="684"/>
      <c r="G83" s="684"/>
      <c r="H83" s="684"/>
      <c r="I83" s="684"/>
      <c r="J83" s="684"/>
      <c r="K83" s="684"/>
      <c r="L83" s="684"/>
      <c r="M83" s="86"/>
    </row>
    <row r="84" spans="2:13" ht="12.75">
      <c r="B84" s="86"/>
      <c r="C84" s="1025" t="s">
        <v>1173</v>
      </c>
      <c r="D84" s="684"/>
      <c r="E84" s="684"/>
      <c r="F84" s="684"/>
      <c r="G84" s="684"/>
      <c r="H84" s="684"/>
      <c r="I84" s="684"/>
      <c r="J84" s="684"/>
      <c r="K84" s="684"/>
      <c r="L84" s="684"/>
      <c r="M84" s="86"/>
    </row>
    <row r="85" spans="2:13" ht="12.75">
      <c r="B85" s="86"/>
      <c r="C85" s="685" t="str">
        <f>Translations!$B$332</f>
        <v>Хелпдеск:</v>
      </c>
      <c r="D85" s="685"/>
      <c r="E85" s="685"/>
      <c r="F85" s="685"/>
      <c r="G85" s="685"/>
      <c r="H85" s="685"/>
      <c r="I85" s="685"/>
      <c r="J85" s="685"/>
      <c r="K85" s="685"/>
      <c r="L85" s="685"/>
      <c r="M85" s="86"/>
    </row>
    <row r="86" spans="2:13" ht="12.75">
      <c r="B86" s="86"/>
      <c r="C86" s="684" t="str">
        <f>Translations!$B$333</f>
        <v>Дирекция "Политика по изменение на климата", отдел "Прилагане на европейската политика по изменение на климата"</v>
      </c>
      <c r="D86" s="684"/>
      <c r="E86" s="684"/>
      <c r="F86" s="684"/>
      <c r="G86" s="684"/>
      <c r="H86" s="684"/>
      <c r="I86" s="684"/>
      <c r="J86" s="684"/>
      <c r="K86" s="684"/>
      <c r="L86" s="684"/>
      <c r="M86" s="86"/>
    </row>
    <row r="87" spans="2:13" ht="12.75">
      <c r="B87" s="86"/>
      <c r="C87" s="1025" t="s">
        <v>1173</v>
      </c>
      <c r="D87" s="684"/>
      <c r="E87" s="684"/>
      <c r="F87" s="684"/>
      <c r="G87" s="684"/>
      <c r="H87" s="684"/>
      <c r="I87" s="684"/>
      <c r="J87" s="684"/>
      <c r="K87" s="684"/>
      <c r="L87" s="684"/>
      <c r="M87" s="86"/>
    </row>
    <row r="88" spans="2:13" ht="12.75">
      <c r="B88" s="86"/>
      <c r="C88" s="5"/>
      <c r="D88" s="5"/>
      <c r="E88" s="5"/>
      <c r="F88" s="5"/>
      <c r="G88" s="5"/>
      <c r="H88" s="5"/>
      <c r="I88" s="5"/>
      <c r="J88" s="5"/>
      <c r="K88" s="5"/>
      <c r="L88" s="5"/>
      <c r="M88" s="86"/>
    </row>
    <row r="89" spans="2:24" s="471" customFormat="1" ht="12.75">
      <c r="B89" s="95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  <c r="O89" s="479"/>
      <c r="P89" s="479"/>
      <c r="Q89" s="479"/>
      <c r="R89" s="479"/>
      <c r="S89" s="479"/>
      <c r="T89" s="479"/>
      <c r="U89" s="479"/>
      <c r="V89" s="479"/>
      <c r="W89" s="479"/>
      <c r="X89" s="479"/>
    </row>
    <row r="90" spans="2:13" ht="15.75" hidden="1">
      <c r="B90" s="86"/>
      <c r="C90" s="697" t="str">
        <f>Translations!$B$334</f>
        <v>Допълнителни указания, дадени от държавата-членка:</v>
      </c>
      <c r="D90" s="697"/>
      <c r="E90" s="697"/>
      <c r="F90" s="697"/>
      <c r="G90" s="697"/>
      <c r="H90" s="697"/>
      <c r="I90" s="697"/>
      <c r="J90" s="697"/>
      <c r="K90" s="697"/>
      <c r="L90" s="697"/>
      <c r="M90" s="86"/>
    </row>
    <row r="91" spans="2:13" ht="12.75" hidden="1">
      <c r="B91" s="86"/>
      <c r="C91" s="684"/>
      <c r="D91" s="684"/>
      <c r="E91" s="684"/>
      <c r="F91" s="684"/>
      <c r="G91" s="684"/>
      <c r="H91" s="684"/>
      <c r="I91" s="684"/>
      <c r="J91" s="684"/>
      <c r="K91" s="684"/>
      <c r="L91" s="684"/>
      <c r="M91" s="86"/>
    </row>
    <row r="92" spans="2:13" ht="12.75" hidden="1">
      <c r="B92" s="86"/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86"/>
    </row>
    <row r="93" spans="2:13" ht="12.75" hidden="1">
      <c r="B93" s="86"/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86"/>
    </row>
    <row r="94" spans="2:13" ht="12.75" hidden="1">
      <c r="B94" s="86"/>
      <c r="C94" s="684"/>
      <c r="D94" s="684"/>
      <c r="E94" s="684"/>
      <c r="F94" s="684"/>
      <c r="G94" s="684"/>
      <c r="H94" s="684"/>
      <c r="I94" s="684"/>
      <c r="J94" s="684"/>
      <c r="K94" s="684"/>
      <c r="L94" s="684"/>
      <c r="M94" s="86"/>
    </row>
    <row r="95" spans="2:13" ht="12.75" hidden="1">
      <c r="B95" s="86"/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86"/>
    </row>
    <row r="96" spans="2:13" ht="12.75" hidden="1">
      <c r="B96" s="86"/>
      <c r="C96" s="684"/>
      <c r="D96" s="684"/>
      <c r="E96" s="684"/>
      <c r="F96" s="684"/>
      <c r="G96" s="684"/>
      <c r="H96" s="684"/>
      <c r="I96" s="684"/>
      <c r="J96" s="684"/>
      <c r="K96" s="684"/>
      <c r="L96" s="684"/>
      <c r="M96" s="86"/>
    </row>
    <row r="97" spans="2:13" ht="12.75" hidden="1">
      <c r="B97" s="86"/>
      <c r="C97" s="684"/>
      <c r="D97" s="684"/>
      <c r="E97" s="684"/>
      <c r="F97" s="684"/>
      <c r="G97" s="684"/>
      <c r="H97" s="684"/>
      <c r="I97" s="684"/>
      <c r="J97" s="684"/>
      <c r="K97" s="684"/>
      <c r="L97" s="684"/>
      <c r="M97" s="86"/>
    </row>
    <row r="98" spans="2:13" ht="12.75" hidden="1">
      <c r="B98" s="86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86"/>
    </row>
    <row r="99" spans="2:13" ht="12.75" hidden="1">
      <c r="B99" s="86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86"/>
    </row>
    <row r="100" spans="2:13" ht="12.75" hidden="1">
      <c r="B100" s="86"/>
      <c r="C100" s="684"/>
      <c r="D100" s="684"/>
      <c r="E100" s="684"/>
      <c r="F100" s="684"/>
      <c r="G100" s="684"/>
      <c r="H100" s="684"/>
      <c r="I100" s="684"/>
      <c r="J100" s="684"/>
      <c r="K100" s="684"/>
      <c r="L100" s="684"/>
      <c r="M100" s="86"/>
    </row>
    <row r="101" spans="2:13" ht="12.75" hidden="1">
      <c r="B101" s="86"/>
      <c r="C101" s="684"/>
      <c r="D101" s="684"/>
      <c r="E101" s="684"/>
      <c r="F101" s="684"/>
      <c r="G101" s="684"/>
      <c r="H101" s="684"/>
      <c r="I101" s="684"/>
      <c r="J101" s="684"/>
      <c r="K101" s="684"/>
      <c r="L101" s="684"/>
      <c r="M101" s="86"/>
    </row>
    <row r="102" spans="2:13" ht="12.75" hidden="1">
      <c r="B102" s="86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86"/>
    </row>
    <row r="103" spans="2:13" ht="12.75" hidden="1">
      <c r="B103" s="8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86"/>
    </row>
    <row r="104" spans="2:17" ht="12.75">
      <c r="B104" s="86"/>
      <c r="C104" s="725" t="str">
        <f>HYPERLINK(Q104,Translations!$B$335)</f>
        <v>&lt;&lt;&lt;Щракнете тук за да продължите към следващия работен лист (sheet)&gt;&gt;&gt;</v>
      </c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483"/>
      <c r="O104" s="384"/>
      <c r="P104" s="384"/>
      <c r="Q104" s="412" t="str">
        <f>$U$2</f>
        <v>#A_InstallationData!$D$6</v>
      </c>
    </row>
    <row r="105" spans="2:12" ht="12.75">
      <c r="B105" s="481"/>
      <c r="C105" s="484"/>
      <c r="D105" s="484"/>
      <c r="E105" s="484"/>
      <c r="F105" s="484"/>
      <c r="G105" s="484"/>
      <c r="H105" s="484"/>
      <c r="I105" s="484"/>
      <c r="J105" s="484"/>
      <c r="K105" s="484"/>
      <c r="L105" s="484"/>
    </row>
  </sheetData>
  <sheetProtection sheet="1" objects="1" scenarios="1" formatCells="0" formatColumns="0" formatRows="0"/>
  <mergeCells count="112">
    <mergeCell ref="D24:L24"/>
    <mergeCell ref="C104:M104"/>
    <mergeCell ref="Q4:R4"/>
    <mergeCell ref="S4:T4"/>
    <mergeCell ref="U4:V4"/>
    <mergeCell ref="W4:X4"/>
    <mergeCell ref="D16:L16"/>
    <mergeCell ref="D17:L17"/>
    <mergeCell ref="C15:L15"/>
    <mergeCell ref="C80:D80"/>
    <mergeCell ref="Q2:R2"/>
    <mergeCell ref="S2:T2"/>
    <mergeCell ref="U2:V2"/>
    <mergeCell ref="W2:X2"/>
    <mergeCell ref="Q3:R3"/>
    <mergeCell ref="S3:T3"/>
    <mergeCell ref="U3:V3"/>
    <mergeCell ref="W3:X3"/>
    <mergeCell ref="E80:L80"/>
    <mergeCell ref="C53:L53"/>
    <mergeCell ref="C78:D78"/>
    <mergeCell ref="E77:L77"/>
    <mergeCell ref="E78:L78"/>
    <mergeCell ref="C55:L55"/>
    <mergeCell ref="C61:L61"/>
    <mergeCell ref="C76:L76"/>
    <mergeCell ref="E65:H72"/>
    <mergeCell ref="C79:L79"/>
    <mergeCell ref="C87:L87"/>
    <mergeCell ref="C82:L82"/>
    <mergeCell ref="C85:L85"/>
    <mergeCell ref="C86:L86"/>
    <mergeCell ref="C83:L83"/>
    <mergeCell ref="C84:L84"/>
    <mergeCell ref="C102:L102"/>
    <mergeCell ref="C91:L91"/>
    <mergeCell ref="C92:L92"/>
    <mergeCell ref="C93:L93"/>
    <mergeCell ref="C94:L94"/>
    <mergeCell ref="C95:L95"/>
    <mergeCell ref="C96:L96"/>
    <mergeCell ref="C97:L97"/>
    <mergeCell ref="C99:L99"/>
    <mergeCell ref="C101:L101"/>
    <mergeCell ref="B2:B4"/>
    <mergeCell ref="I3:J3"/>
    <mergeCell ref="K3:L3"/>
    <mergeCell ref="E4:F4"/>
    <mergeCell ref="G4:H4"/>
    <mergeCell ref="I4:J4"/>
    <mergeCell ref="K4:L4"/>
    <mergeCell ref="G2:H2"/>
    <mergeCell ref="I2:J2"/>
    <mergeCell ref="K2:L2"/>
    <mergeCell ref="C3:D3"/>
    <mergeCell ref="C90:L90"/>
    <mergeCell ref="G3:H3"/>
    <mergeCell ref="E47:L47"/>
    <mergeCell ref="E48:L48"/>
    <mergeCell ref="C63:L63"/>
    <mergeCell ref="C75:L75"/>
    <mergeCell ref="C50:D50"/>
    <mergeCell ref="C51:D51"/>
    <mergeCell ref="C43:L43"/>
    <mergeCell ref="C44:D44"/>
    <mergeCell ref="C45:D45"/>
    <mergeCell ref="C46:D46"/>
    <mergeCell ref="C57:L57"/>
    <mergeCell ref="C58:L58"/>
    <mergeCell ref="C54:L54"/>
    <mergeCell ref="E44:L44"/>
    <mergeCell ref="E45:L45"/>
    <mergeCell ref="C100:L100"/>
    <mergeCell ref="C77:D77"/>
    <mergeCell ref="C98:L98"/>
    <mergeCell ref="C27:L27"/>
    <mergeCell ref="C32:L32"/>
    <mergeCell ref="C56:L56"/>
    <mergeCell ref="C31:L31"/>
    <mergeCell ref="E50:L50"/>
    <mergeCell ref="E51:L51"/>
    <mergeCell ref="C35:L35"/>
    <mergeCell ref="C36:L36"/>
    <mergeCell ref="C33:L33"/>
    <mergeCell ref="C49:D49"/>
    <mergeCell ref="C11:L11"/>
    <mergeCell ref="E40:L41"/>
    <mergeCell ref="E39:L39"/>
    <mergeCell ref="E38:L38"/>
    <mergeCell ref="C47:D47"/>
    <mergeCell ref="E46:L46"/>
    <mergeCell ref="C48:D48"/>
    <mergeCell ref="C29:L29"/>
    <mergeCell ref="C10:L10"/>
    <mergeCell ref="C12:L12"/>
    <mergeCell ref="C13:L13"/>
    <mergeCell ref="C14:L14"/>
    <mergeCell ref="C18:L18"/>
    <mergeCell ref="C19:L19"/>
    <mergeCell ref="C20:L20"/>
    <mergeCell ref="D23:L23"/>
    <mergeCell ref="D21:L21"/>
    <mergeCell ref="D22:L22"/>
    <mergeCell ref="E49:L49"/>
    <mergeCell ref="E2:F2"/>
    <mergeCell ref="E3:F3"/>
    <mergeCell ref="C6:K6"/>
    <mergeCell ref="C7:L7"/>
    <mergeCell ref="C4:D4"/>
    <mergeCell ref="C8:L8"/>
    <mergeCell ref="C34:L34"/>
    <mergeCell ref="C26:L26"/>
  </mergeCells>
  <hyperlinks>
    <hyperlink ref="E77" r:id="rId1" display="http://eur-lex.europa.eu/en/index.htm "/>
    <hyperlink ref="E78" r:id="rId2" display="http://ec.europa.eu/clima/policies/ets/index_en.htm"/>
    <hyperlink ref="C13:L13" r:id="rId3" display="http://ec.europa.eu/clima/documentation/ets/docs/decision_benchmarking_15_dec_en.pdf. "/>
    <hyperlink ref="C11:L11" r:id="rId4" display="http://ec.europa.eu/clima/documentation/ets/docs/decision_benchmarking_15_dec_en.pdf. "/>
    <hyperlink ref="C11" r:id="rId5" display="http://eur-lex.europa.eu/LexUriServ/LexUriServ.do?uri=CONSLEG:2003L0087:20090625:EN:PDF"/>
    <hyperlink ref="C13" r:id="rId6" display="http://eur-lex.europa.eu/LexUriServ/LexUriServ.do?uri=CONSLEG:2011D0278:20111117:EN:PDF "/>
    <hyperlink ref="E80" r:id="rId7" display="http://ec.europa.eu/clima/policies/ets/benchmarking/documentation_en.htm"/>
    <hyperlink ref="E80:L80" r:id="rId8" display="http://ec.europa.eu/clima/policies/ets/benchmarking/documentation_en.htm"/>
    <hyperlink ref="E2:F2" location="JUMP_Coverpage_Top" display="JUMP_Coverpage_Top"/>
    <hyperlink ref="C84" r:id="rId9" display="http://www.moew.government.bg/?show=top&amp;cid=5"/>
    <hyperlink ref="C87" r:id="rId10" display="http://www.moew.government.bg/?show=top&amp;cid=5"/>
  </hyperlinks>
  <printOptions/>
  <pageMargins left="0.7874015748031497" right="0.7874015748031497" top="0.7874015748031497" bottom="0.7874015748031497" header="0.3937007874015748" footer="0.3937007874015748"/>
  <pageSetup fitToHeight="2" fitToWidth="1" horizontalDpi="600" verticalDpi="600" orientation="portrait" paperSize="9" scale="64" r:id="rId11"/>
  <headerFooter alignWithMargins="0">
    <oddHeader>&amp;L&amp;F; &amp;A&amp;R&amp;D; &amp;T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06"/>
  <sheetViews>
    <sheetView tabSelected="1" zoomScalePageLayoutView="0" workbookViewId="0" topLeftCell="A1">
      <pane ySplit="4" topLeftCell="A5" activePane="bottomLeft" state="frozen"/>
      <selection pane="topLeft" activeCell="F43" sqref="F43"/>
      <selection pane="bottomLeft" activeCell="D185" sqref="D185"/>
    </sheetView>
  </sheetViews>
  <sheetFormatPr defaultColWidth="11.421875" defaultRowHeight="12.75"/>
  <cols>
    <col min="1" max="1" width="5.140625" style="4" hidden="1" customWidth="1"/>
    <col min="2" max="2" width="2.7109375" style="483" customWidth="1"/>
    <col min="3" max="4" width="4.7109375" style="483" customWidth="1"/>
    <col min="5" max="14" width="12.7109375" style="483" customWidth="1"/>
    <col min="15" max="15" width="4.7109375" style="483" customWidth="1"/>
    <col min="16" max="16" width="59.7109375" style="483" hidden="1" customWidth="1"/>
    <col min="17" max="17" width="12.7109375" style="299" hidden="1" customWidth="1"/>
    <col min="18" max="26" width="11.421875" style="299" hidden="1" customWidth="1"/>
    <col min="27" max="16384" width="11.421875" style="483" customWidth="1"/>
  </cols>
  <sheetData>
    <row r="1" spans="1:26" s="4" customFormat="1" ht="13.5" hidden="1" thickBot="1">
      <c r="A1" s="4" t="s">
        <v>474</v>
      </c>
      <c r="P1" s="284" t="s">
        <v>474</v>
      </c>
      <c r="Q1" s="299" t="s">
        <v>474</v>
      </c>
      <c r="R1" s="299" t="s">
        <v>474</v>
      </c>
      <c r="S1" s="299" t="s">
        <v>474</v>
      </c>
      <c r="T1" s="299" t="s">
        <v>474</v>
      </c>
      <c r="U1" s="299" t="s">
        <v>474</v>
      </c>
      <c r="V1" s="299" t="s">
        <v>474</v>
      </c>
      <c r="W1" s="299" t="s">
        <v>474</v>
      </c>
      <c r="X1" s="299" t="s">
        <v>474</v>
      </c>
      <c r="Y1" s="299" t="s">
        <v>474</v>
      </c>
      <c r="Z1" s="299" t="s">
        <v>474</v>
      </c>
    </row>
    <row r="2" spans="2:26" ht="13.5" customHeight="1" thickBot="1">
      <c r="B2" s="859" t="str">
        <f>Translations!$B$336</f>
        <v>А.
Данни за инсталацията</v>
      </c>
      <c r="C2" s="860"/>
      <c r="D2" s="861"/>
      <c r="E2" s="201" t="str">
        <f>Translations!$B$276</f>
        <v>Навигационно меню:</v>
      </c>
      <c r="F2" s="199"/>
      <c r="G2" s="661" t="str">
        <f>Translations!$B$290</f>
        <v>Съдържание</v>
      </c>
      <c r="H2" s="648"/>
      <c r="I2" s="648" t="str">
        <f>HYPERLINK(U2,Translations!$B$291)</f>
        <v>Предишен работен лист (sheet)</v>
      </c>
      <c r="J2" s="648"/>
      <c r="K2" s="648" t="str">
        <f>HYPERLINK(W2,Translations!$B$277)</f>
        <v>Следващ работен лист (sheet)</v>
      </c>
      <c r="L2" s="648"/>
      <c r="M2" s="648" t="str">
        <f>HYPERLINK(Y2,Translations!$B$278)</f>
        <v>Обобщение</v>
      </c>
      <c r="N2" s="655"/>
      <c r="O2" s="9"/>
      <c r="P2" s="9"/>
      <c r="Q2" s="402" t="s">
        <v>539</v>
      </c>
      <c r="R2" s="402"/>
      <c r="S2" s="650"/>
      <c r="T2" s="651"/>
      <c r="U2" s="652" t="str">
        <f>"#"&amp;ADDRESS(ROW(C6),COLUMN(C6),,,'b_Guidelines &amp; conditions'!O3)</f>
        <v>#'b_Guidelines &amp; conditions'!$C$6</v>
      </c>
      <c r="V2" s="651"/>
      <c r="W2" s="652" t="str">
        <f>"#"&amp;ADDRESS(ROW(C6),COLUMN(C6),,,B_InitialSituation!Q3)</f>
        <v>#B_InitialSituation!$C$6</v>
      </c>
      <c r="X2" s="651"/>
      <c r="Y2" s="652" t="str">
        <f>"#"&amp;ADDRESS(ROW(C6),COLUMN(C6),,,D_Summary!Q3)</f>
        <v>#D_Summary!$C$6</v>
      </c>
      <c r="Z2" s="653"/>
    </row>
    <row r="3" spans="2:26" ht="13.5" thickBot="1">
      <c r="B3" s="862"/>
      <c r="C3" s="863"/>
      <c r="D3" s="864"/>
      <c r="E3" s="648" t="str">
        <f>HYPERLINK(R3,Translations!$B$279)</f>
        <v>Начало на работния лист</v>
      </c>
      <c r="F3" s="696"/>
      <c r="G3" s="662" t="str">
        <f>HYPERLINK(S3,Translations!$B$338)</f>
        <v>Съответствие с условията за безплатно разпределяне</v>
      </c>
      <c r="H3" s="663"/>
      <c r="I3" s="698" t="str">
        <f>HYPERLINK(U3,Translations!$B$337)</f>
        <v>Идентификация на инсталацията</v>
      </c>
      <c r="J3" s="663"/>
      <c r="K3" s="698" t="str">
        <f>HYPERLINK(W3,Translations!$B$339)</f>
        <v>Технически връзки</v>
      </c>
      <c r="L3" s="663"/>
      <c r="M3" s="698" t="str">
        <f>HYPERLINK(Y3,Translations!$B$544)</f>
        <v>Разглеждани инсталации</v>
      </c>
      <c r="N3" s="663"/>
      <c r="O3" s="9"/>
      <c r="P3" s="9"/>
      <c r="Q3" s="460" t="str">
        <f ca="1">IF(ISERROR(CELL("filename",Q1)),"A_InstallationData",MID(CELL("filename",Q1),FIND("]",CELL("filename",Q1))+1,1024))</f>
        <v>A_InstallationData</v>
      </c>
      <c r="R3" s="461" t="str">
        <f>"#"&amp;ADDRESS(ROW(C6),COLUMN(C6))</f>
        <v>#$C$6</v>
      </c>
      <c r="S3" s="721" t="str">
        <f>"#"&amp;ADDRESS(ROW(C8),COLUMN(C8))</f>
        <v>#$C$8</v>
      </c>
      <c r="T3" s="722"/>
      <c r="U3" s="723" t="str">
        <f>"#"&amp;ADDRESS(ROW(C42),COLUMN(C42))</f>
        <v>#$C$42</v>
      </c>
      <c r="V3" s="722"/>
      <c r="W3" s="723" t="str">
        <f>"#"&amp;ADDRESS(ROW(JUMP_A_VI),COLUMN(JUMP_A_VI))</f>
        <v>#$C$147</v>
      </c>
      <c r="X3" s="722"/>
      <c r="Y3" s="723" t="str">
        <f>"#"&amp;ADDRESS(ROW(C199),COLUMN(C199))</f>
        <v>#$C$199</v>
      </c>
      <c r="Z3" s="724"/>
    </row>
    <row r="4" spans="2:26" ht="13.5" customHeight="1" thickBot="1">
      <c r="B4" s="865"/>
      <c r="C4" s="866"/>
      <c r="D4" s="867"/>
      <c r="E4" s="648" t="str">
        <f>HYPERLINK(R4,Translations!$B$280)</f>
        <v>Край на работния лист</v>
      </c>
      <c r="F4" s="648"/>
      <c r="G4" s="704"/>
      <c r="H4" s="705"/>
      <c r="I4" s="706"/>
      <c r="J4" s="705"/>
      <c r="K4" s="706"/>
      <c r="L4" s="705"/>
      <c r="M4" s="706"/>
      <c r="N4" s="705"/>
      <c r="O4" s="9"/>
      <c r="P4" s="9"/>
      <c r="Q4" s="402"/>
      <c r="R4" s="462" t="str">
        <f>"#"&amp;ADDRESS(ROW(JUMP_A_Bottom),COLUMN(JUMP_A_Bottom))</f>
        <v>#$D$274</v>
      </c>
      <c r="S4" s="727"/>
      <c r="T4" s="728"/>
      <c r="U4" s="729"/>
      <c r="V4" s="728"/>
      <c r="W4" s="729"/>
      <c r="X4" s="728"/>
      <c r="Y4" s="729"/>
      <c r="Z4" s="730"/>
    </row>
    <row r="5" spans="2:17" ht="12.75">
      <c r="B5" s="5"/>
      <c r="C5" s="6"/>
      <c r="D5" s="7"/>
      <c r="E5" s="7"/>
      <c r="F5" s="8"/>
      <c r="G5" s="8"/>
      <c r="H5" s="8"/>
      <c r="I5" s="5"/>
      <c r="J5" s="5"/>
      <c r="K5" s="5"/>
      <c r="L5" s="5"/>
      <c r="M5" s="9"/>
      <c r="N5" s="9"/>
      <c r="O5" s="9"/>
      <c r="P5" s="9"/>
      <c r="Q5" s="305"/>
    </row>
    <row r="6" spans="2:26" ht="38.25" customHeight="1">
      <c r="B6" s="5"/>
      <c r="C6" s="11" t="s">
        <v>337</v>
      </c>
      <c r="D6" s="664" t="str">
        <f>Translations!$B$472</f>
        <v>Лист „InstallationData“ (данни за инсталацията) – ОБЩА ИНФОРМАЦИЯ ОТНОСНО НАСТОЯЩАТА ЗАЯВКА</v>
      </c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9"/>
      <c r="P6" s="9"/>
      <c r="Q6" s="306" t="s">
        <v>322</v>
      </c>
      <c r="R6" s="306" t="s">
        <v>322</v>
      </c>
      <c r="S6" s="306" t="s">
        <v>322</v>
      </c>
      <c r="T6" s="306" t="s">
        <v>322</v>
      </c>
      <c r="U6" s="306" t="s">
        <v>322</v>
      </c>
      <c r="V6" s="306" t="s">
        <v>322</v>
      </c>
      <c r="W6" s="306" t="s">
        <v>322</v>
      </c>
      <c r="X6" s="306" t="s">
        <v>322</v>
      </c>
      <c r="Y6" s="306" t="s">
        <v>322</v>
      </c>
      <c r="Z6" s="306" t="s">
        <v>322</v>
      </c>
    </row>
    <row r="7" spans="2:26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9"/>
      <c r="O7" s="9"/>
      <c r="P7" s="9"/>
      <c r="Q7" s="307" t="s">
        <v>166</v>
      </c>
      <c r="R7" s="307" t="s">
        <v>166</v>
      </c>
      <c r="S7" s="307" t="s">
        <v>166</v>
      </c>
      <c r="T7" s="307" t="s">
        <v>166</v>
      </c>
      <c r="U7" s="307" t="s">
        <v>166</v>
      </c>
      <c r="V7" s="307" t="s">
        <v>166</v>
      </c>
      <c r="W7" s="307" t="s">
        <v>166</v>
      </c>
      <c r="X7" s="307" t="s">
        <v>166</v>
      </c>
      <c r="Y7" s="307" t="s">
        <v>166</v>
      </c>
      <c r="Z7" s="307" t="s">
        <v>166</v>
      </c>
    </row>
    <row r="8" spans="1:26" s="485" customFormat="1" ht="18" customHeight="1">
      <c r="A8" s="336"/>
      <c r="B8" s="208"/>
      <c r="C8" s="281" t="s">
        <v>40</v>
      </c>
      <c r="D8" s="297" t="str">
        <f>Translations!$B$545</f>
        <v>Потвърждение на допустимостта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09"/>
      <c r="P8" s="209"/>
      <c r="Q8" s="328"/>
      <c r="R8" s="328"/>
      <c r="S8" s="328"/>
      <c r="T8" s="328"/>
      <c r="U8" s="328"/>
      <c r="V8" s="328"/>
      <c r="W8" s="328"/>
      <c r="X8" s="328"/>
      <c r="Y8" s="328"/>
      <c r="Z8" s="328"/>
    </row>
    <row r="9" spans="2:17" ht="8.2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9"/>
      <c r="O9" s="9"/>
      <c r="P9" s="9"/>
      <c r="Q9" s="305"/>
    </row>
    <row r="10" spans="2:26" ht="14.25" customHeight="1">
      <c r="B10" s="16"/>
      <c r="C10" s="80"/>
      <c r="D10" s="79"/>
      <c r="E10" s="79"/>
      <c r="F10" s="79"/>
      <c r="G10" s="79"/>
      <c r="H10" s="79"/>
      <c r="I10" s="79"/>
      <c r="J10" s="79"/>
      <c r="K10" s="79"/>
      <c r="L10" s="79"/>
      <c r="M10" s="78"/>
      <c r="N10" s="78"/>
      <c r="O10" s="77"/>
      <c r="P10" s="18"/>
      <c r="Q10" s="402"/>
      <c r="R10" s="384"/>
      <c r="S10" s="384"/>
      <c r="T10" s="384"/>
      <c r="U10" s="384"/>
      <c r="V10" s="384"/>
      <c r="W10" s="384"/>
      <c r="X10" s="384"/>
      <c r="Y10" s="384"/>
      <c r="Z10" s="384"/>
    </row>
    <row r="11" spans="2:26" ht="17.25" customHeight="1">
      <c r="B11" s="16"/>
      <c r="C11" s="76"/>
      <c r="D11" s="193" t="s">
        <v>452</v>
      </c>
      <c r="E11" s="633" t="str">
        <f>Translations!$B$560</f>
        <v>Дали заявката се отнася за сливане, разделяне или прехвърляне на части от инсталации?</v>
      </c>
      <c r="F11" s="735"/>
      <c r="G11" s="735"/>
      <c r="H11" s="735"/>
      <c r="I11" s="735"/>
      <c r="J11" s="735"/>
      <c r="K11" s="735"/>
      <c r="L11" s="735"/>
      <c r="M11" s="735"/>
      <c r="N11" s="735"/>
      <c r="O11" s="75"/>
      <c r="P11" s="215"/>
      <c r="S11" s="384"/>
      <c r="T11" s="384"/>
      <c r="U11" s="384"/>
      <c r="V11" s="384"/>
      <c r="W11" s="384"/>
      <c r="X11" s="384"/>
      <c r="Y11" s="384"/>
      <c r="Z11" s="384"/>
    </row>
    <row r="12" spans="2:26" ht="39" customHeight="1">
      <c r="B12" s="16"/>
      <c r="C12" s="76"/>
      <c r="D12" s="202"/>
      <c r="E12" s="734" t="str">
        <f>Translations!$B$561</f>
        <v>Моля потвърдете, че описваната в настоящата заявка промяна на заявка се дължи само на сливане,  разделяне  или прехвърляне на части от инсталации . С това потвърждавате също, че не е имало физически промени и че настоящата заявка описва само промени на границите на инсталациите и на действащите разрешителни.</v>
      </c>
      <c r="F12" s="735"/>
      <c r="G12" s="735"/>
      <c r="H12" s="735"/>
      <c r="I12" s="735"/>
      <c r="J12" s="735"/>
      <c r="K12" s="735"/>
      <c r="L12" s="735"/>
      <c r="M12" s="735"/>
      <c r="N12" s="735"/>
      <c r="O12" s="75"/>
      <c r="P12" s="18"/>
      <c r="Q12" s="384"/>
      <c r="R12" s="384"/>
      <c r="S12" s="384"/>
      <c r="T12" s="384"/>
      <c r="U12" s="384"/>
      <c r="V12" s="384"/>
      <c r="W12" s="384"/>
      <c r="X12" s="384"/>
      <c r="Y12" s="384"/>
      <c r="Z12" s="384"/>
    </row>
    <row r="13" spans="2:26" ht="15">
      <c r="B13" s="16"/>
      <c r="C13" s="76"/>
      <c r="D13" s="202"/>
      <c r="E13" s="731"/>
      <c r="F13" s="732"/>
      <c r="G13" s="732"/>
      <c r="H13" s="732"/>
      <c r="I13" s="732"/>
      <c r="J13" s="732"/>
      <c r="K13" s="732"/>
      <c r="L13" s="732"/>
      <c r="M13" s="732"/>
      <c r="N13" s="733"/>
      <c r="O13" s="372"/>
      <c r="P13" s="18"/>
      <c r="Q13" s="507" t="b">
        <f>E13&lt;&gt;""</f>
        <v>0</v>
      </c>
      <c r="R13" s="508" t="s">
        <v>531</v>
      </c>
      <c r="S13" s="384"/>
      <c r="T13" s="384"/>
      <c r="U13" s="384"/>
      <c r="V13" s="384"/>
      <c r="W13" s="384"/>
      <c r="X13" s="384"/>
      <c r="Y13" s="384"/>
      <c r="Z13" s="384"/>
    </row>
    <row r="14" spans="2:26" ht="12.75" customHeight="1">
      <c r="B14" s="16"/>
      <c r="C14" s="76"/>
      <c r="D14" s="193"/>
      <c r="E14" s="544"/>
      <c r="F14" s="369"/>
      <c r="G14" s="369"/>
      <c r="H14" s="369"/>
      <c r="I14" s="369"/>
      <c r="J14" s="369"/>
      <c r="K14" s="369"/>
      <c r="L14" s="369"/>
      <c r="M14" s="369"/>
      <c r="N14" s="369"/>
      <c r="O14" s="370"/>
      <c r="P14" s="18"/>
      <c r="Q14" s="384"/>
      <c r="R14" s="384"/>
      <c r="S14" s="384"/>
      <c r="T14" s="384"/>
      <c r="U14" s="384"/>
      <c r="V14" s="384"/>
      <c r="W14" s="384"/>
      <c r="X14" s="384"/>
      <c r="Y14" s="384"/>
      <c r="Z14" s="384"/>
    </row>
    <row r="15" spans="2:19" ht="19.5" customHeight="1">
      <c r="B15" s="5"/>
      <c r="C15" s="74"/>
      <c r="D15" s="193" t="s">
        <v>243</v>
      </c>
      <c r="E15" s="870" t="str">
        <f>Translations!$B$630</f>
        <v>Настоящото заявление се отнася за:</v>
      </c>
      <c r="F15" s="870"/>
      <c r="G15" s="870"/>
      <c r="H15" s="870"/>
      <c r="I15" s="870"/>
      <c r="J15" s="870"/>
      <c r="K15" s="871"/>
      <c r="L15" s="872"/>
      <c r="M15" s="872"/>
      <c r="N15" s="872"/>
      <c r="O15" s="73"/>
      <c r="P15" s="18"/>
      <c r="Q15" s="305"/>
      <c r="R15" s="308">
        <f>IF(L15="","",MATCH(L15,EUconst_MergerSplitOrTransfer,0))</f>
      </c>
      <c r="S15" s="508" t="s">
        <v>557</v>
      </c>
    </row>
    <row r="16" spans="2:17" ht="13.5" customHeight="1">
      <c r="B16" s="5"/>
      <c r="C16" s="74"/>
      <c r="D16" s="7"/>
      <c r="E16" s="7"/>
      <c r="F16" s="7"/>
      <c r="G16" s="7"/>
      <c r="H16" s="7"/>
      <c r="I16" s="7"/>
      <c r="J16" s="7"/>
      <c r="K16" s="7"/>
      <c r="L16" s="7"/>
      <c r="M16" s="23"/>
      <c r="N16" s="23"/>
      <c r="O16" s="73"/>
      <c r="P16" s="18"/>
      <c r="Q16" s="305"/>
    </row>
    <row r="17" spans="2:26" ht="12.75" customHeight="1" thickBot="1">
      <c r="B17" s="16"/>
      <c r="C17" s="76"/>
      <c r="D17" s="193"/>
      <c r="E17" s="544"/>
      <c r="F17" s="369"/>
      <c r="G17" s="369"/>
      <c r="H17" s="369"/>
      <c r="I17" s="369"/>
      <c r="J17" s="369"/>
      <c r="K17" s="369"/>
      <c r="L17" s="500" t="str">
        <f>Translations!$B$614</f>
        <v>Ден</v>
      </c>
      <c r="M17" s="500" t="str">
        <f>Translations!$B$615</f>
        <v>Месец</v>
      </c>
      <c r="N17" s="500" t="str">
        <f>Translations!$B$616</f>
        <v>Година</v>
      </c>
      <c r="O17" s="370"/>
      <c r="P17" s="18"/>
      <c r="Q17" s="384"/>
      <c r="R17" s="384"/>
      <c r="S17" s="384"/>
      <c r="T17" s="384"/>
      <c r="U17" s="384"/>
      <c r="V17" s="384"/>
      <c r="W17" s="384"/>
      <c r="X17" s="384"/>
      <c r="Y17" s="384"/>
      <c r="Z17" s="384"/>
    </row>
    <row r="18" spans="2:26" ht="30.75" customHeight="1" thickBot="1">
      <c r="B18" s="16"/>
      <c r="C18" s="76"/>
      <c r="D18" s="193" t="s">
        <v>449</v>
      </c>
      <c r="E18" s="870" t="str">
        <f>Translations!$B$562</f>
        <v>Официална дата, на която е станало сливането, разделянето или прехвърлянето на части от инсталации</v>
      </c>
      <c r="F18" s="870"/>
      <c r="G18" s="870"/>
      <c r="H18" s="870"/>
      <c r="I18" s="870"/>
      <c r="J18" s="870"/>
      <c r="K18" s="871"/>
      <c r="L18" s="499"/>
      <c r="M18" s="499"/>
      <c r="N18" s="499"/>
      <c r="O18" s="370"/>
      <c r="P18" s="18"/>
      <c r="Q18" s="501">
        <f>IF(X38,DATE(N18,IF(ISBLANK(M18),1,M18),IF(ISBLANK(L18),1,L18)),"")</f>
      </c>
      <c r="R18" s="404">
        <f>IF(N25="",2010,N25-1+IF(N26=TRUE,1,0))</f>
        <v>2010</v>
      </c>
      <c r="S18" s="401" t="s">
        <v>536</v>
      </c>
      <c r="T18" s="384"/>
      <c r="U18" s="384"/>
      <c r="V18" s="384"/>
      <c r="W18" s="384"/>
      <c r="X18" s="384"/>
      <c r="Y18" s="384"/>
      <c r="Z18" s="405" t="b">
        <f>CNTR_Merger&lt;&gt;TRUE</f>
        <v>1</v>
      </c>
    </row>
    <row r="19" spans="2:26" ht="4.5" customHeight="1">
      <c r="B19" s="16"/>
      <c r="C19" s="76"/>
      <c r="D19" s="368"/>
      <c r="E19" s="545"/>
      <c r="F19" s="369"/>
      <c r="G19" s="369"/>
      <c r="H19" s="369"/>
      <c r="I19" s="369"/>
      <c r="J19" s="369"/>
      <c r="K19" s="369"/>
      <c r="L19" s="369"/>
      <c r="M19" s="369"/>
      <c r="N19" s="369"/>
      <c r="O19" s="370"/>
      <c r="P19" s="18"/>
      <c r="Q19" s="384"/>
      <c r="R19" s="384"/>
      <c r="S19" s="384"/>
      <c r="T19" s="384"/>
      <c r="U19" s="384"/>
      <c r="V19" s="384"/>
      <c r="W19" s="384"/>
      <c r="X19" s="384"/>
      <c r="Y19" s="384"/>
      <c r="Z19" s="384"/>
    </row>
    <row r="20" spans="2:26" ht="23.25" customHeight="1">
      <c r="B20" s="16"/>
      <c r="C20" s="76"/>
      <c r="D20" s="193" t="s">
        <v>123</v>
      </c>
      <c r="E20" s="633" t="str">
        <f>Translations!$B$618</f>
        <v>Година, от която ще се промени разпределението на квотите</v>
      </c>
      <c r="F20" s="735"/>
      <c r="G20" s="735"/>
      <c r="H20" s="735"/>
      <c r="I20" s="735"/>
      <c r="J20" s="735"/>
      <c r="K20" s="735"/>
      <c r="L20" s="735"/>
      <c r="M20" s="735"/>
      <c r="N20" s="735"/>
      <c r="O20" s="370"/>
      <c r="P20" s="18"/>
      <c r="Q20" s="384"/>
      <c r="R20" s="384"/>
      <c r="S20" s="384"/>
      <c r="T20" s="384"/>
      <c r="U20" s="384"/>
      <c r="V20" s="384"/>
      <c r="W20" s="384"/>
      <c r="X20" s="384"/>
      <c r="Y20" s="384"/>
      <c r="Z20" s="384"/>
    </row>
    <row r="21" spans="2:26" ht="12.75" customHeight="1">
      <c r="B21" s="16"/>
      <c r="C21" s="76"/>
      <c r="D21" s="368"/>
      <c r="E21" s="734" t="str">
        <f>Translations!$B$619</f>
        <v>По принцип разпределението се променя от следващата година след сливането, разделянето или прехвърлянето на части от инсталацията. </v>
      </c>
      <c r="F21" s="735"/>
      <c r="G21" s="735"/>
      <c r="H21" s="735"/>
      <c r="I21" s="735"/>
      <c r="J21" s="735"/>
      <c r="K21" s="735"/>
      <c r="L21" s="735"/>
      <c r="M21" s="735"/>
      <c r="N21" s="735"/>
      <c r="O21" s="370"/>
      <c r="P21" s="18"/>
      <c r="Q21" s="384"/>
      <c r="R21" s="384"/>
      <c r="S21" s="384"/>
      <c r="T21" s="384"/>
      <c r="U21" s="384"/>
      <c r="V21" s="384"/>
      <c r="W21" s="384"/>
      <c r="X21" s="384"/>
      <c r="Y21" s="384"/>
      <c r="Z21" s="384"/>
    </row>
    <row r="22" spans="2:26" ht="24.75" customHeight="1">
      <c r="B22" s="16"/>
      <c r="C22" s="76"/>
      <c r="D22" s="368"/>
      <c r="E22" s="734" t="str">
        <f>Translations!$B$620</f>
        <v>Но в случай, че вече са издадени квотите за тази година, разпределението ще се промени от втората година след сливането, разделянето или прехвърлянето на части от инсталацията.</v>
      </c>
      <c r="F22" s="735"/>
      <c r="G22" s="735"/>
      <c r="H22" s="735"/>
      <c r="I22" s="735"/>
      <c r="J22" s="735"/>
      <c r="K22" s="735"/>
      <c r="L22" s="735"/>
      <c r="M22" s="735"/>
      <c r="N22" s="735"/>
      <c r="O22" s="370"/>
      <c r="P22" s="18"/>
      <c r="Q22" s="384"/>
      <c r="R22" s="384"/>
      <c r="S22" s="384"/>
      <c r="T22" s="384"/>
      <c r="U22" s="384"/>
      <c r="V22" s="384"/>
      <c r="W22" s="384"/>
      <c r="X22" s="384"/>
      <c r="Y22" s="384"/>
      <c r="Z22" s="384"/>
    </row>
    <row r="23" spans="2:26" ht="25.5" customHeight="1">
      <c r="B23" s="16"/>
      <c r="C23" s="76"/>
      <c r="D23" s="368"/>
      <c r="E23" s="734" t="str">
        <f>Translations!$B$621</f>
        <v>Пример: направено е разделяне през ноември 2014 г., което е докладвано през януари 2015 г. Разпределението на квотите се променя от 2015 г. Но ако разделянето е докладвано след като вече са издадени квоти за 2015 г. (т.е. след 28 февруари 2015 г.), разпределението на квотите ще се промени от 2016 г.</v>
      </c>
      <c r="F23" s="735"/>
      <c r="G23" s="735"/>
      <c r="H23" s="735"/>
      <c r="I23" s="735"/>
      <c r="J23" s="735"/>
      <c r="K23" s="735"/>
      <c r="L23" s="735"/>
      <c r="M23" s="735"/>
      <c r="N23" s="735"/>
      <c r="O23" s="370"/>
      <c r="P23" s="18"/>
      <c r="Q23" s="384"/>
      <c r="R23" s="384"/>
      <c r="S23" s="384"/>
      <c r="T23" s="384"/>
      <c r="U23" s="384"/>
      <c r="V23" s="384"/>
      <c r="W23" s="384"/>
      <c r="X23" s="384"/>
      <c r="Y23" s="384"/>
      <c r="Z23" s="384"/>
    </row>
    <row r="24" spans="2:26" ht="4.5" customHeight="1">
      <c r="B24" s="16"/>
      <c r="C24" s="76"/>
      <c r="D24" s="368"/>
      <c r="E24" s="743"/>
      <c r="F24" s="743"/>
      <c r="G24" s="743"/>
      <c r="H24" s="743"/>
      <c r="I24" s="743"/>
      <c r="J24" s="743"/>
      <c r="K24" s="743"/>
      <c r="L24" s="743"/>
      <c r="M24" s="743"/>
      <c r="N24" s="369"/>
      <c r="O24" s="370"/>
      <c r="P24" s="18"/>
      <c r="Q24" s="384"/>
      <c r="R24" s="384"/>
      <c r="S24" s="384"/>
      <c r="T24" s="384"/>
      <c r="U24" s="384"/>
      <c r="V24" s="384"/>
      <c r="W24" s="384"/>
      <c r="X24" s="384"/>
      <c r="Y24" s="384"/>
      <c r="Z24" s="384"/>
    </row>
    <row r="25" spans="2:26" ht="19.5" customHeight="1">
      <c r="B25" s="16"/>
      <c r="C25" s="76"/>
      <c r="D25" s="368"/>
      <c r="E25" s="506" t="s">
        <v>417</v>
      </c>
      <c r="F25" s="750" t="str">
        <f>Translations!$B$622</f>
        <v>Най-ранна година, от която ще се промени разпределението на база на данните, въведени в точка b) по-горе</v>
      </c>
      <c r="G25" s="751"/>
      <c r="H25" s="751"/>
      <c r="I25" s="751"/>
      <c r="J25" s="751"/>
      <c r="K25" s="751"/>
      <c r="L25" s="751"/>
      <c r="M25" s="752"/>
      <c r="N25" s="502">
        <f>IF(N18="","",N18+1)</f>
      </c>
      <c r="O25" s="370"/>
      <c r="P25" s="18"/>
      <c r="Q25" s="384"/>
      <c r="R25" s="384"/>
      <c r="S25" s="384"/>
      <c r="T25" s="384"/>
      <c r="U25" s="384"/>
      <c r="V25" s="384"/>
      <c r="W25" s="384"/>
      <c r="X25" s="384"/>
      <c r="Y25" s="384"/>
      <c r="Z25" s="384"/>
    </row>
    <row r="26" spans="2:26" ht="12.75" customHeight="1">
      <c r="B26" s="16"/>
      <c r="C26" s="76"/>
      <c r="D26" s="368"/>
      <c r="E26" s="506" t="s">
        <v>418</v>
      </c>
      <c r="F26" s="744" t="str">
        <f>Translations!$B$623</f>
        <v>Има ли вече издадени квоти във Вашата партида за годината, изписана в точка i. по-горе?</v>
      </c>
      <c r="G26" s="745"/>
      <c r="H26" s="745"/>
      <c r="I26" s="745"/>
      <c r="J26" s="745"/>
      <c r="K26" s="745"/>
      <c r="L26" s="745"/>
      <c r="M26" s="746"/>
      <c r="N26" s="499"/>
      <c r="O26" s="370"/>
      <c r="P26" s="18"/>
      <c r="Q26" s="384"/>
      <c r="R26" s="384"/>
      <c r="S26" s="384"/>
      <c r="T26" s="384"/>
      <c r="U26" s="384"/>
      <c r="V26" s="384"/>
      <c r="W26" s="384"/>
      <c r="X26" s="384"/>
      <c r="Y26" s="384"/>
      <c r="Z26" s="384"/>
    </row>
    <row r="27" spans="2:26" ht="12.75" customHeight="1">
      <c r="B27" s="16"/>
      <c r="C27" s="76"/>
      <c r="D27" s="368"/>
      <c r="E27" s="506" t="s">
        <v>419</v>
      </c>
      <c r="F27" s="747" t="str">
        <f>Translations!$B$624</f>
        <v>Окончателен резултат: година, от която се променя разпределението на квоти</v>
      </c>
      <c r="G27" s="748"/>
      <c r="H27" s="748"/>
      <c r="I27" s="748"/>
      <c r="J27" s="748"/>
      <c r="K27" s="748"/>
      <c r="L27" s="748"/>
      <c r="M27" s="749"/>
      <c r="N27" s="502">
        <f>IF(N25="","",N25+IF(N26=TRUE,1,0))</f>
      </c>
      <c r="O27" s="370"/>
      <c r="P27" s="18"/>
      <c r="Q27" s="384"/>
      <c r="R27" s="384"/>
      <c r="S27" s="384"/>
      <c r="T27" s="384"/>
      <c r="U27" s="384"/>
      <c r="V27" s="384"/>
      <c r="W27" s="384"/>
      <c r="X27" s="384"/>
      <c r="Y27" s="384"/>
      <c r="Z27" s="384"/>
    </row>
    <row r="28" spans="2:26" ht="4.5" customHeight="1">
      <c r="B28" s="16"/>
      <c r="C28" s="76"/>
      <c r="D28" s="368"/>
      <c r="E28" s="545"/>
      <c r="F28" s="369"/>
      <c r="G28" s="369"/>
      <c r="H28" s="369"/>
      <c r="I28" s="369"/>
      <c r="J28" s="369"/>
      <c r="K28" s="369"/>
      <c r="L28" s="369"/>
      <c r="M28" s="369"/>
      <c r="N28" s="369"/>
      <c r="O28" s="370"/>
      <c r="P28" s="18"/>
      <c r="Q28" s="384"/>
      <c r="R28" s="384"/>
      <c r="S28" s="384"/>
      <c r="T28" s="384"/>
      <c r="U28" s="384"/>
      <c r="V28" s="384"/>
      <c r="W28" s="384"/>
      <c r="X28" s="384"/>
      <c r="Y28" s="384"/>
      <c r="Z28" s="384"/>
    </row>
    <row r="29" spans="2:26" ht="12.75" customHeight="1">
      <c r="B29" s="5"/>
      <c r="C29" s="74"/>
      <c r="D29" s="193" t="s">
        <v>450</v>
      </c>
      <c r="E29" s="633" t="str">
        <f>Translations!$B$563</f>
        <v>Описание на сливането, разделянето или прехвърлянето</v>
      </c>
      <c r="F29" s="735"/>
      <c r="G29" s="735"/>
      <c r="H29" s="735"/>
      <c r="I29" s="735"/>
      <c r="J29" s="735"/>
      <c r="K29" s="735"/>
      <c r="L29" s="735"/>
      <c r="M29" s="735"/>
      <c r="N29" s="735"/>
      <c r="O29" s="371"/>
      <c r="P29" s="9"/>
      <c r="Q29" s="384"/>
      <c r="R29" s="384"/>
      <c r="S29" s="384"/>
      <c r="T29" s="384"/>
      <c r="U29" s="384"/>
      <c r="V29" s="384"/>
      <c r="W29" s="384"/>
      <c r="X29" s="384"/>
      <c r="Y29" s="384"/>
      <c r="Z29" s="384"/>
    </row>
    <row r="30" spans="2:26" ht="16.5" customHeight="1">
      <c r="B30" s="5"/>
      <c r="C30" s="74"/>
      <c r="D30" s="202"/>
      <c r="E30" s="734" t="str">
        <f>Translations!$B$564</f>
        <v>Моля въведете тук кратко описание на правната ситуация, довела до разбирането, че следва отсега нататък да се промени идентификацията на инсталациите.</v>
      </c>
      <c r="F30" s="735"/>
      <c r="G30" s="735"/>
      <c r="H30" s="735"/>
      <c r="I30" s="735"/>
      <c r="J30" s="735"/>
      <c r="K30" s="735"/>
      <c r="L30" s="735"/>
      <c r="M30" s="735"/>
      <c r="N30" s="735"/>
      <c r="O30" s="371"/>
      <c r="P30" s="9"/>
      <c r="Q30" s="384"/>
      <c r="R30" s="384"/>
      <c r="S30" s="384"/>
      <c r="T30" s="384"/>
      <c r="U30" s="384"/>
      <c r="V30" s="384"/>
      <c r="W30" s="384"/>
      <c r="X30" s="384"/>
      <c r="Y30" s="384"/>
      <c r="Z30" s="384"/>
    </row>
    <row r="31" spans="2:26" ht="32.25" customHeight="1">
      <c r="B31" s="5"/>
      <c r="C31" s="74"/>
      <c r="D31" s="202"/>
      <c r="E31" s="734" t="str">
        <f>Translations!$B$565</f>
        <v>Това описание трябва да изяснява как съответните инсталации са свързани технически, т.е. какви са физическите блокове в инсталациите и връзките между тях, както и съответните  потоци от топлина, отпадни газове и  CO2, преминаващи от един блок към друг.</v>
      </c>
      <c r="F31" s="735"/>
      <c r="G31" s="735"/>
      <c r="H31" s="735"/>
      <c r="I31" s="735"/>
      <c r="J31" s="735"/>
      <c r="K31" s="735"/>
      <c r="L31" s="735"/>
      <c r="M31" s="735"/>
      <c r="N31" s="735"/>
      <c r="O31" s="371"/>
      <c r="P31" s="373"/>
      <c r="Q31" s="384"/>
      <c r="R31" s="384"/>
      <c r="S31" s="384"/>
      <c r="T31" s="384"/>
      <c r="U31" s="384"/>
      <c r="V31" s="384"/>
      <c r="W31" s="384"/>
      <c r="X31" s="384"/>
      <c r="Y31" s="384"/>
      <c r="Z31" s="384"/>
    </row>
    <row r="32" spans="2:26" ht="54.75" customHeight="1">
      <c r="B32" s="5"/>
      <c r="C32" s="74"/>
      <c r="D32" s="7"/>
      <c r="E32" s="731"/>
      <c r="F32" s="732"/>
      <c r="G32" s="732"/>
      <c r="H32" s="732"/>
      <c r="I32" s="732"/>
      <c r="J32" s="732"/>
      <c r="K32" s="732"/>
      <c r="L32" s="732"/>
      <c r="M32" s="732"/>
      <c r="N32" s="733"/>
      <c r="O32" s="371"/>
      <c r="P32" s="9"/>
      <c r="Q32" s="384"/>
      <c r="R32" s="384"/>
      <c r="S32" s="384"/>
      <c r="T32" s="384"/>
      <c r="U32" s="384"/>
      <c r="V32" s="384"/>
      <c r="W32" s="384"/>
      <c r="X32" s="384"/>
      <c r="Y32" s="384"/>
      <c r="Z32" s="405" t="b">
        <f>CNTR_Merger&lt;&gt;TRUE</f>
        <v>1</v>
      </c>
    </row>
    <row r="33" spans="2:17" ht="4.5" customHeight="1">
      <c r="B33" s="5"/>
      <c r="C33" s="74"/>
      <c r="D33" s="7"/>
      <c r="E33" s="7"/>
      <c r="F33" s="7"/>
      <c r="G33" s="7"/>
      <c r="H33" s="7"/>
      <c r="I33" s="7"/>
      <c r="J33" s="7"/>
      <c r="K33" s="7"/>
      <c r="L33" s="7"/>
      <c r="M33" s="23"/>
      <c r="N33" s="23"/>
      <c r="O33" s="73"/>
      <c r="P33" s="23"/>
      <c r="Q33" s="305"/>
    </row>
    <row r="34" spans="2:16" ht="12.75">
      <c r="B34" s="18"/>
      <c r="C34" s="76"/>
      <c r="D34" s="193" t="s">
        <v>451</v>
      </c>
      <c r="E34" s="633" t="str">
        <f>Translations!$B$393</f>
        <v>Съгласие за използване на съдържащите се в настоящия файл данни:</v>
      </c>
      <c r="F34" s="735"/>
      <c r="G34" s="735"/>
      <c r="H34" s="735"/>
      <c r="I34" s="735"/>
      <c r="J34" s="735"/>
      <c r="K34" s="735"/>
      <c r="L34" s="735"/>
      <c r="M34" s="735"/>
      <c r="N34" s="735"/>
      <c r="O34" s="75"/>
      <c r="P34" s="18"/>
    </row>
    <row r="35" spans="2:16" ht="59.25" customHeight="1">
      <c r="B35" s="18"/>
      <c r="C35" s="76"/>
      <c r="D35" s="18"/>
      <c r="E35" s="736" t="str">
        <f>Translations!$B$476</f>
        <v>Съдържащите се в настоящия файл данни ще бъдат използвани от компетентния орган за определяне на предоставянето на безплатни квоти съгласно член 10а от Директивата за СТЕ на ЕС или на промяна в количествата, свързана с предишни решения за разпределяне на квоти. Освен това, тези данни ще бъдат съобщени на Европейската комисия, частично или изцяло, в съответствие с член 24, параграф 2 от мерките за изпълнение.</v>
      </c>
      <c r="F35" s="736"/>
      <c r="G35" s="736"/>
      <c r="H35" s="736"/>
      <c r="I35" s="736"/>
      <c r="J35" s="736"/>
      <c r="K35" s="736"/>
      <c r="L35" s="736"/>
      <c r="M35" s="736"/>
      <c r="N35" s="736"/>
      <c r="O35" s="75"/>
      <c r="P35" s="18"/>
    </row>
    <row r="36" spans="2:25" ht="12.75">
      <c r="B36" s="18"/>
      <c r="C36" s="76"/>
      <c r="D36" s="18"/>
      <c r="E36" s="739"/>
      <c r="F36" s="740"/>
      <c r="G36" s="740"/>
      <c r="H36" s="740"/>
      <c r="I36" s="740"/>
      <c r="J36" s="740"/>
      <c r="K36" s="740"/>
      <c r="L36" s="740"/>
      <c r="M36" s="740"/>
      <c r="N36" s="741"/>
      <c r="O36" s="75"/>
      <c r="P36" s="18"/>
      <c r="X36" s="401" t="s">
        <v>553</v>
      </c>
      <c r="Y36" s="401" t="s">
        <v>554</v>
      </c>
    </row>
    <row r="37" spans="2:16" ht="4.5" customHeight="1">
      <c r="B37" s="18"/>
      <c r="C37" s="7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75"/>
      <c r="P37" s="18"/>
    </row>
    <row r="38" spans="2:25" ht="12.75">
      <c r="B38" s="18"/>
      <c r="C38" s="76"/>
      <c r="D38" s="18"/>
      <c r="E38" s="753">
        <f>IF(CNTR_HasEntries_A_I,IF(E36="",EUconst_ERR_Mandatory_g,""),"")</f>
      </c>
      <c r="F38" s="753"/>
      <c r="G38" s="753"/>
      <c r="H38" s="753"/>
      <c r="I38" s="753"/>
      <c r="J38" s="753"/>
      <c r="K38" s="753"/>
      <c r="L38" s="753"/>
      <c r="M38" s="753"/>
      <c r="N38" s="753"/>
      <c r="O38" s="75"/>
      <c r="P38" s="18"/>
      <c r="X38" s="308" t="b">
        <f>COUNTA(E13,L15,L18,M18,N18,N26,E32,E36)&gt;0</f>
        <v>0</v>
      </c>
      <c r="Y38" s="308" t="b">
        <f>AND(X38,OR(COUNTA(E13,L15,L18,M18,N18,N26,E32,E36)&lt;8,E38&lt;&gt;""))</f>
        <v>0</v>
      </c>
    </row>
    <row r="39" spans="2:17" ht="4.5" customHeight="1" thickBot="1">
      <c r="B39" s="5"/>
      <c r="C39" s="72"/>
      <c r="D39" s="71"/>
      <c r="E39" s="71"/>
      <c r="F39" s="71"/>
      <c r="G39" s="71"/>
      <c r="H39" s="71"/>
      <c r="I39" s="71"/>
      <c r="J39" s="71"/>
      <c r="K39" s="71"/>
      <c r="L39" s="71"/>
      <c r="M39" s="70"/>
      <c r="N39" s="70"/>
      <c r="O39" s="69"/>
      <c r="P39" s="18"/>
      <c r="Q39" s="305"/>
    </row>
    <row r="40" spans="2:16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26" ht="25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9"/>
      <c r="N41" s="9"/>
      <c r="O41" s="9"/>
      <c r="P41" s="18"/>
      <c r="Q41" s="331"/>
      <c r="R41" s="331"/>
      <c r="S41" s="331"/>
      <c r="T41" s="331"/>
      <c r="U41" s="331"/>
      <c r="V41" s="331"/>
      <c r="W41" s="331"/>
      <c r="X41" s="331"/>
      <c r="Y41" s="331"/>
      <c r="Z41" s="331"/>
    </row>
    <row r="42" spans="1:26" s="485" customFormat="1" ht="18" customHeight="1">
      <c r="A42" s="336"/>
      <c r="B42" s="208"/>
      <c r="C42" s="281" t="s">
        <v>70</v>
      </c>
      <c r="D42" s="297" t="str">
        <f>Translations!$B$340</f>
        <v>Идентификация на инсталацията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09"/>
      <c r="P42" s="18"/>
      <c r="Q42" s="328"/>
      <c r="R42" s="328"/>
      <c r="S42" s="328"/>
      <c r="T42" s="328"/>
      <c r="U42" s="328"/>
      <c r="V42" s="328"/>
      <c r="W42" s="328"/>
      <c r="X42" s="328"/>
      <c r="Y42" s="328"/>
      <c r="Z42" s="328"/>
    </row>
    <row r="43" spans="2:17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9"/>
      <c r="N43" s="9"/>
      <c r="O43" s="9"/>
      <c r="P43" s="9"/>
      <c r="Q43" s="305"/>
    </row>
    <row r="44" spans="2:17" ht="25.5" customHeight="1">
      <c r="B44" s="5"/>
      <c r="C44" s="5"/>
      <c r="D44" s="738" t="str">
        <f>Translations!$B$566</f>
        <v>Моля да имате предвид, че всички въведени тук данни трябва да отразяват информация за инсталацията, за която се подава заявката, така както тази информация е валидна СЛЕД сливането,  разделянето  или прехвърляне на части от инсталации.</v>
      </c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9"/>
      <c r="P44" s="9"/>
      <c r="Q44" s="305"/>
    </row>
    <row r="45" spans="2:17" ht="4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9"/>
      <c r="N45" s="9"/>
      <c r="O45" s="9"/>
      <c r="P45" s="9"/>
      <c r="Q45" s="305"/>
    </row>
    <row r="46" spans="2:16" ht="15">
      <c r="B46" s="18"/>
      <c r="C46" s="16">
        <v>1</v>
      </c>
      <c r="D46" s="763" t="str">
        <f>Translations!$B$341</f>
        <v>Обща информация:</v>
      </c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18"/>
      <c r="P46" s="18"/>
    </row>
    <row r="47" spans="2:17" ht="4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9"/>
      <c r="N47" s="9"/>
      <c r="O47" s="9"/>
      <c r="P47" s="9"/>
      <c r="Q47" s="305"/>
    </row>
    <row r="48" spans="2:16" ht="12.75">
      <c r="B48" s="18"/>
      <c r="C48" s="18"/>
      <c r="D48" s="99" t="s">
        <v>452</v>
      </c>
      <c r="E48" s="689" t="str">
        <f>Translations!$B$342</f>
        <v>Наименование на инсталацията:</v>
      </c>
      <c r="F48" s="688"/>
      <c r="G48" s="688"/>
      <c r="H48" s="688"/>
      <c r="I48" s="764"/>
      <c r="J48" s="765"/>
      <c r="K48" s="766"/>
      <c r="L48" s="766"/>
      <c r="M48" s="766"/>
      <c r="N48" s="767"/>
      <c r="O48" s="18"/>
      <c r="P48" s="18"/>
    </row>
    <row r="49" spans="2:16" ht="12.75">
      <c r="B49" s="18"/>
      <c r="C49" s="18"/>
      <c r="D49" s="15"/>
      <c r="E49" s="737" t="str">
        <f>Translations!$B$343</f>
        <v>Това наименование следва да бъде същото като вече използваното в кореспонденцията с компетентния орган.</v>
      </c>
      <c r="F49" s="688"/>
      <c r="G49" s="688"/>
      <c r="H49" s="688"/>
      <c r="I49" s="688"/>
      <c r="J49" s="688"/>
      <c r="K49" s="688"/>
      <c r="L49" s="688"/>
      <c r="M49" s="688"/>
      <c r="N49" s="688"/>
      <c r="O49" s="18"/>
      <c r="P49" s="18"/>
    </row>
    <row r="50" spans="2:17" ht="4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9"/>
      <c r="N50" s="9"/>
      <c r="O50" s="9"/>
      <c r="P50" s="9"/>
      <c r="Q50" s="305"/>
    </row>
    <row r="51" spans="2:16" ht="12.75">
      <c r="B51" s="18"/>
      <c r="C51" s="18"/>
      <c r="D51" s="99" t="s">
        <v>243</v>
      </c>
      <c r="E51" s="689" t="str">
        <f>Translations!$B$344</f>
        <v>Държава-членка, в която се намира инсталацията:</v>
      </c>
      <c r="F51" s="688"/>
      <c r="G51" s="688"/>
      <c r="H51" s="688"/>
      <c r="I51" s="764"/>
      <c r="J51" s="765"/>
      <c r="K51" s="766"/>
      <c r="L51" s="766"/>
      <c r="M51" s="766"/>
      <c r="N51" s="767"/>
      <c r="O51" s="18"/>
      <c r="P51" s="18"/>
    </row>
    <row r="52" spans="2:16" ht="24" customHeight="1">
      <c r="B52" s="18"/>
      <c r="C52" s="18"/>
      <c r="D52" s="15"/>
      <c r="E52" s="737" t="str">
        <f>Translations!$B$473</f>
        <v>В случая „държава членка“ означава: държава, участваща в Европейската схема за търговия с емисии, т.е. страните от ЕС-27 плюс Хърватия, Исландия, Норвегия и Лихтенщайн.</v>
      </c>
      <c r="F52" s="688"/>
      <c r="G52" s="688"/>
      <c r="H52" s="688"/>
      <c r="I52" s="688"/>
      <c r="J52" s="688"/>
      <c r="K52" s="688"/>
      <c r="L52" s="688"/>
      <c r="M52" s="688"/>
      <c r="N52" s="688"/>
      <c r="O52" s="18"/>
      <c r="P52" s="18"/>
    </row>
    <row r="53" spans="2:17" ht="4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9"/>
      <c r="N53" s="9"/>
      <c r="O53" s="9"/>
      <c r="P53" s="9"/>
      <c r="Q53" s="305"/>
    </row>
    <row r="54" spans="2:16" ht="12.75">
      <c r="B54" s="18"/>
      <c r="C54" s="18"/>
      <c r="D54" s="99" t="s">
        <v>449</v>
      </c>
      <c r="E54" s="846" t="str">
        <f>Translations!$B$345</f>
        <v>Била ли е инсталацията включена в Европейската схема за търговия с емисии по-рано?</v>
      </c>
      <c r="F54" s="688"/>
      <c r="G54" s="688"/>
      <c r="H54" s="688"/>
      <c r="I54" s="764"/>
      <c r="J54" s="290"/>
      <c r="K54" s="18"/>
      <c r="L54" s="18"/>
      <c r="M54" s="18"/>
      <c r="N54" s="18"/>
      <c r="O54" s="18"/>
      <c r="P54" s="215"/>
    </row>
    <row r="55" spans="2:17" ht="4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9"/>
      <c r="N55" s="9"/>
      <c r="O55" s="9"/>
      <c r="P55" s="9"/>
      <c r="Q55" s="305"/>
    </row>
    <row r="56" spans="2:16" ht="12.75">
      <c r="B56" s="18"/>
      <c r="C56" s="18"/>
      <c r="D56" s="99" t="s">
        <v>123</v>
      </c>
      <c r="E56" s="689" t="str">
        <f>Translations!$B$346</f>
        <v>Уникален идентификационен номер, даден от компетентния орган:</v>
      </c>
      <c r="F56" s="688"/>
      <c r="G56" s="688"/>
      <c r="H56" s="688"/>
      <c r="I56" s="764"/>
      <c r="J56" s="765"/>
      <c r="K56" s="766"/>
      <c r="L56" s="766"/>
      <c r="M56" s="766"/>
      <c r="N56" s="767"/>
      <c r="O56" s="18"/>
      <c r="P56" s="18"/>
    </row>
    <row r="57" spans="2:16" ht="26.25" customHeight="1">
      <c r="B57" s="18"/>
      <c r="C57" s="18"/>
      <c r="D57" s="18"/>
      <c r="E57" s="737" t="str">
        <f>Translations!$B$474</f>
        <v>Това обикновено е идентификационният код, използван във Втория национален план за разпределение на квоти за емисии (NAP II), ако това е приложимо, или националните мерки за изпълнение или  всякакъв друг идентификационен код, използван от компетентния орган при кореспонденция.</v>
      </c>
      <c r="F57" s="688"/>
      <c r="G57" s="688"/>
      <c r="H57" s="688"/>
      <c r="I57" s="688"/>
      <c r="J57" s="688"/>
      <c r="K57" s="688"/>
      <c r="L57" s="688"/>
      <c r="M57" s="688"/>
      <c r="N57" s="688"/>
      <c r="O57" s="18"/>
      <c r="P57" s="18"/>
    </row>
    <row r="58" spans="2:16" ht="12.75">
      <c r="B58" s="18"/>
      <c r="C58" s="18"/>
      <c r="D58" s="18"/>
      <c r="E58" s="737" t="str">
        <f>Translations!$B$475</f>
        <v>За нови инсталации („новоизградени инсталации“) операторите са длъжни да поискат такъв идентификационен номер от компетентния орган.</v>
      </c>
      <c r="F58" s="688"/>
      <c r="G58" s="688"/>
      <c r="H58" s="688"/>
      <c r="I58" s="688"/>
      <c r="J58" s="688"/>
      <c r="K58" s="688"/>
      <c r="L58" s="688"/>
      <c r="M58" s="688"/>
      <c r="N58" s="688"/>
      <c r="O58" s="18"/>
      <c r="P58" s="18"/>
    </row>
    <row r="59" spans="2:16" ht="12.75">
      <c r="B59" s="18"/>
      <c r="C59" s="18"/>
      <c r="D59" s="18"/>
      <c r="E59" s="737" t="str">
        <f>Translations!$B$347</f>
        <v>Компетентните органи трябва да осигурят наличието на уникален идентификационен преди да съобщават каквито и да са данни на Европейската комисия. </v>
      </c>
      <c r="F59" s="688"/>
      <c r="G59" s="688"/>
      <c r="H59" s="688"/>
      <c r="I59" s="688"/>
      <c r="J59" s="688"/>
      <c r="K59" s="688"/>
      <c r="L59" s="688"/>
      <c r="M59" s="688"/>
      <c r="N59" s="688"/>
      <c r="O59" s="18"/>
      <c r="P59" s="18"/>
    </row>
    <row r="60" spans="2:17" ht="4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9"/>
      <c r="N60" s="9"/>
      <c r="O60" s="9"/>
      <c r="P60" s="9"/>
      <c r="Q60" s="305"/>
    </row>
    <row r="61" spans="2:16" ht="12.75">
      <c r="B61" s="18"/>
      <c r="C61" s="18"/>
      <c r="D61" s="99" t="s">
        <v>450</v>
      </c>
      <c r="E61" s="689" t="str">
        <f>Translations!$B$348</f>
        <v>Идентификационен код на инсталацията в регистъра:</v>
      </c>
      <c r="F61" s="688"/>
      <c r="G61" s="688"/>
      <c r="H61" s="688"/>
      <c r="I61" s="764"/>
      <c r="J61" s="778"/>
      <c r="K61" s="779"/>
      <c r="L61" s="779"/>
      <c r="M61" s="779"/>
      <c r="N61" s="780"/>
      <c r="O61" s="18"/>
      <c r="P61" s="18"/>
    </row>
    <row r="62" spans="2:16" ht="12.75">
      <c r="B62" s="18"/>
      <c r="C62" s="18"/>
      <c r="D62" s="18"/>
      <c r="E62" s="737" t="str">
        <f>Translations!$B$349</f>
        <v>Това обикновено е цяло положително число, т.е. представлява код, различен от номера на разрешителното в регистъра.</v>
      </c>
      <c r="F62" s="688"/>
      <c r="G62" s="688"/>
      <c r="H62" s="688"/>
      <c r="I62" s="688"/>
      <c r="J62" s="688"/>
      <c r="K62" s="688"/>
      <c r="L62" s="688"/>
      <c r="M62" s="688"/>
      <c r="N62" s="688"/>
      <c r="O62" s="18"/>
      <c r="P62" s="18"/>
    </row>
    <row r="63" spans="2:17" ht="4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9"/>
      <c r="N63" s="9"/>
      <c r="O63" s="9"/>
      <c r="P63" s="9"/>
      <c r="Q63" s="305"/>
    </row>
    <row r="64" spans="2:16" ht="12.75">
      <c r="B64" s="18"/>
      <c r="C64" s="18"/>
      <c r="D64" s="99" t="s">
        <v>451</v>
      </c>
      <c r="E64" s="689" t="str">
        <f>Translations!$B$350</f>
        <v>Предложете уникален идентификационен номер за целите на представяне на данните на Комисията:</v>
      </c>
      <c r="F64" s="688"/>
      <c r="G64" s="688"/>
      <c r="H64" s="688"/>
      <c r="I64" s="764"/>
      <c r="J64" s="782">
        <f>IF(AND(NOT(ISBLANK(J51)),NOT(ISBLANK(J54))),CONCATENATE(INDEX(EUconst_MSlistISOcodes,MATCH(J51,EUconst_MSlist,0)),IF(J54=TRUE,IF(ISNUMBER(J61),TEXT(J61,"000000000000000"),CONCATENATE("-existing-",IF(ISBLANK(J61),EUconst_Incomplete,J61),"-",IF(ISBLANK(J56),EUconst_Incomplete,J56))),CONCATENATE("-new-",IF(ISBLANK(J56),EUconst_Incomplete,J56),IF(ISBLANK(J61),"",CONCATENATE("-",J61))))),"")</f>
      </c>
      <c r="K64" s="783"/>
      <c r="L64" s="783"/>
      <c r="M64" s="783"/>
      <c r="N64" s="784"/>
      <c r="O64" s="18"/>
      <c r="P64" s="18"/>
    </row>
    <row r="65" spans="2:17" ht="4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9"/>
      <c r="N65" s="9"/>
      <c r="O65" s="9"/>
      <c r="P65" s="9"/>
      <c r="Q65" s="305"/>
    </row>
    <row r="66" spans="2:16" ht="12.75">
      <c r="B66" s="18"/>
      <c r="C66" s="18"/>
      <c r="D66" s="99" t="s">
        <v>398</v>
      </c>
      <c r="E66" s="633" t="str">
        <f>Translations!$B$351</f>
        <v>Информация за разрешителното за емисии на парникови газове:</v>
      </c>
      <c r="F66" s="735"/>
      <c r="G66" s="735"/>
      <c r="H66" s="735"/>
      <c r="I66" s="735"/>
      <c r="J66" s="688"/>
      <c r="K66" s="688"/>
      <c r="L66" s="688"/>
      <c r="M66" s="688"/>
      <c r="N66" s="688"/>
      <c r="O66" s="18"/>
      <c r="P66" s="18"/>
    </row>
    <row r="67" spans="2:16" ht="22.5" customHeight="1">
      <c r="B67" s="18"/>
      <c r="C67" s="18"/>
      <c r="D67" s="18"/>
      <c r="E67" s="737" t="str">
        <f>Translations!$B$352</f>
        <v>Моля, тук посочете информация за разрешителното за емисии на парникови газове (т.е. разрешителното, издадено в съответствие с член 4 и член 6 от Директивата за Европейската схема за търговия с емисии).</v>
      </c>
      <c r="F67" s="688"/>
      <c r="G67" s="688"/>
      <c r="H67" s="688"/>
      <c r="I67" s="688"/>
      <c r="J67" s="688"/>
      <c r="K67" s="688"/>
      <c r="L67" s="688"/>
      <c r="M67" s="688"/>
      <c r="N67" s="688"/>
      <c r="O67" s="18"/>
      <c r="P67" s="18"/>
    </row>
    <row r="68" spans="2:16" ht="3.75" customHeight="1">
      <c r="B68" s="18"/>
      <c r="C68" s="18"/>
      <c r="D68" s="18"/>
      <c r="E68" s="737">
        <f>Translations!$B$353</f>
        <v>0</v>
      </c>
      <c r="F68" s="688"/>
      <c r="G68" s="688"/>
      <c r="H68" s="688"/>
      <c r="I68" s="688"/>
      <c r="J68" s="688"/>
      <c r="K68" s="688"/>
      <c r="L68" s="688"/>
      <c r="M68" s="688"/>
      <c r="N68" s="688"/>
      <c r="O68" s="18"/>
      <c r="P68" s="18"/>
    </row>
    <row r="69" spans="2:16" ht="12.75">
      <c r="B69" s="18"/>
      <c r="C69" s="18"/>
      <c r="D69" s="102"/>
      <c r="E69" s="100"/>
      <c r="F69" s="720" t="str">
        <f>Translations!$B$354</f>
        <v>Наименование на компетентния орган:</v>
      </c>
      <c r="G69" s="688"/>
      <c r="H69" s="688"/>
      <c r="I69" s="764"/>
      <c r="J69" s="765"/>
      <c r="K69" s="766"/>
      <c r="L69" s="766"/>
      <c r="M69" s="766"/>
      <c r="N69" s="767"/>
      <c r="O69" s="18"/>
      <c r="P69" s="18"/>
    </row>
    <row r="70" spans="2:17" ht="4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9"/>
      <c r="N70" s="9"/>
      <c r="O70" s="9"/>
      <c r="P70" s="9"/>
      <c r="Q70" s="305"/>
    </row>
    <row r="71" spans="2:16" ht="12.75">
      <c r="B71" s="18"/>
      <c r="C71" s="18"/>
      <c r="D71" s="99"/>
      <c r="E71" s="100"/>
      <c r="F71" s="857" t="str">
        <f>Translations!$B$355</f>
        <v>Първо разрешително за емисии на парникови газове, получено когато инсталацията е била включена в Европейската схема за търговия с емисии за пръв път:</v>
      </c>
      <c r="G71" s="691"/>
      <c r="H71" s="691"/>
      <c r="I71" s="691"/>
      <c r="J71" s="691"/>
      <c r="K71" s="691"/>
      <c r="L71" s="691"/>
      <c r="M71" s="691"/>
      <c r="N71" s="691"/>
      <c r="O71" s="18"/>
      <c r="P71" s="18"/>
    </row>
    <row r="72" spans="2:16" ht="12.75">
      <c r="B72" s="18"/>
      <c r="C72" s="18"/>
      <c r="D72" s="102"/>
      <c r="E72" s="190" t="s">
        <v>417</v>
      </c>
      <c r="F72" s="849" t="str">
        <f>Translations!$B$356</f>
        <v>Идентификационен номер на разрешителното:</v>
      </c>
      <c r="G72" s="850"/>
      <c r="H72" s="850"/>
      <c r="I72" s="851"/>
      <c r="J72" s="798"/>
      <c r="K72" s="799"/>
      <c r="L72" s="799"/>
      <c r="M72" s="799"/>
      <c r="N72" s="799"/>
      <c r="O72" s="18"/>
      <c r="P72" s="18"/>
    </row>
    <row r="73" spans="2:16" ht="12.75">
      <c r="B73" s="18"/>
      <c r="C73" s="18"/>
      <c r="D73" s="102"/>
      <c r="E73" s="190" t="s">
        <v>418</v>
      </c>
      <c r="F73" s="789" t="str">
        <f>Translations!$B$357</f>
        <v>Дата на издаване:</v>
      </c>
      <c r="G73" s="790"/>
      <c r="H73" s="790"/>
      <c r="I73" s="791"/>
      <c r="J73" s="847"/>
      <c r="K73" s="848"/>
      <c r="L73" s="848"/>
      <c r="M73" s="848"/>
      <c r="N73" s="848"/>
      <c r="O73" s="18"/>
      <c r="P73" s="18"/>
    </row>
    <row r="74" spans="2:17" ht="4.5" customHeight="1">
      <c r="B74" s="5"/>
      <c r="C74" s="5"/>
      <c r="D74" s="5"/>
      <c r="E74" s="189"/>
      <c r="F74" s="5"/>
      <c r="G74" s="5"/>
      <c r="H74" s="5"/>
      <c r="I74" s="5"/>
      <c r="J74" s="5"/>
      <c r="K74" s="5"/>
      <c r="L74" s="5"/>
      <c r="M74" s="9"/>
      <c r="N74" s="9"/>
      <c r="O74" s="9"/>
      <c r="P74" s="9"/>
      <c r="Q74" s="305"/>
    </row>
    <row r="75" spans="2:16" ht="12.75">
      <c r="B75" s="18"/>
      <c r="C75" s="18"/>
      <c r="D75" s="99"/>
      <c r="E75" s="190"/>
      <c r="F75" s="858" t="str">
        <f>Translations!$B$567</f>
        <v>Най-нова актуализация на разрешителните:</v>
      </c>
      <c r="G75" s="691"/>
      <c r="H75" s="691"/>
      <c r="I75" s="691"/>
      <c r="J75" s="691"/>
      <c r="K75" s="691"/>
      <c r="L75" s="691"/>
      <c r="M75" s="691"/>
      <c r="N75" s="691"/>
      <c r="O75" s="18"/>
      <c r="P75" s="18"/>
    </row>
    <row r="76" spans="2:16" ht="12.75">
      <c r="B76" s="18"/>
      <c r="C76" s="18"/>
      <c r="D76" s="102"/>
      <c r="E76" s="190" t="s">
        <v>419</v>
      </c>
      <c r="F76" s="849" t="str">
        <f>Translations!$B$356</f>
        <v>Идентификационен номер на разрешителното:</v>
      </c>
      <c r="G76" s="850"/>
      <c r="H76" s="850"/>
      <c r="I76" s="851"/>
      <c r="J76" s="854"/>
      <c r="K76" s="855"/>
      <c r="L76" s="855"/>
      <c r="M76" s="855"/>
      <c r="N76" s="855"/>
      <c r="O76" s="18"/>
      <c r="P76" s="18"/>
    </row>
    <row r="77" spans="2:16" ht="12.75">
      <c r="B77" s="18"/>
      <c r="C77" s="18"/>
      <c r="D77" s="102"/>
      <c r="E77" s="190" t="s">
        <v>202</v>
      </c>
      <c r="F77" s="789" t="str">
        <f>Translations!$B$357</f>
        <v>Дата на издаване:</v>
      </c>
      <c r="G77" s="790"/>
      <c r="H77" s="790"/>
      <c r="I77" s="791"/>
      <c r="J77" s="847"/>
      <c r="K77" s="848"/>
      <c r="L77" s="848"/>
      <c r="M77" s="848"/>
      <c r="N77" s="848"/>
      <c r="O77" s="18"/>
      <c r="P77" s="18"/>
    </row>
    <row r="78" spans="2:17" ht="4.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9"/>
      <c r="N78" s="9"/>
      <c r="O78" s="9"/>
      <c r="P78" s="18"/>
      <c r="Q78" s="305"/>
    </row>
    <row r="79" spans="2:16" ht="12.75">
      <c r="B79" s="18"/>
      <c r="C79" s="215"/>
      <c r="D79" s="14" t="s">
        <v>478</v>
      </c>
      <c r="E79" s="846" t="str">
        <f>Translations!$B$358</f>
        <v>Данни за оператора на инсталацията:</v>
      </c>
      <c r="F79" s="688"/>
      <c r="G79" s="688"/>
      <c r="H79" s="688"/>
      <c r="I79" s="688"/>
      <c r="J79" s="688"/>
      <c r="K79" s="688"/>
      <c r="L79" s="688"/>
      <c r="M79" s="688"/>
      <c r="N79" s="688"/>
      <c r="O79" s="18"/>
      <c r="P79" s="18"/>
    </row>
    <row r="80" spans="2:16" ht="36.75" customHeight="1">
      <c r="B80" s="18"/>
      <c r="C80" s="18"/>
      <c r="D80" s="15"/>
      <c r="E80" s="742" t="str">
        <f>Translations!$B$359</f>
        <v>Операторът е [физическото или юридическо] лице, което експлоатира дадената инсталация или осъществява контрол върху дейността ѝ или, в случаите, когато това се предвижда от националното законодателство, такова лице, на което е предоставена решаваща икономическа власт върху техническата експлоатация на инсталацията.</v>
      </c>
      <c r="F80" s="856"/>
      <c r="G80" s="856"/>
      <c r="H80" s="856"/>
      <c r="I80" s="856"/>
      <c r="J80" s="856"/>
      <c r="K80" s="856"/>
      <c r="L80" s="856"/>
      <c r="M80" s="856"/>
      <c r="N80" s="856"/>
      <c r="O80" s="18"/>
      <c r="P80" s="18"/>
    </row>
    <row r="81" spans="2:16" ht="12.75">
      <c r="B81" s="18"/>
      <c r="C81" s="18"/>
      <c r="D81" s="102"/>
      <c r="E81" s="100"/>
      <c r="F81" s="190" t="s">
        <v>417</v>
      </c>
      <c r="G81" s="849" t="str">
        <f>Translations!$B$360</f>
        <v>Име на оператора:</v>
      </c>
      <c r="H81" s="850"/>
      <c r="I81" s="851"/>
      <c r="J81" s="798"/>
      <c r="K81" s="799"/>
      <c r="L81" s="799"/>
      <c r="M81" s="799"/>
      <c r="N81" s="799"/>
      <c r="O81" s="18"/>
      <c r="P81" s="18"/>
    </row>
    <row r="82" spans="2:16" ht="12.75">
      <c r="B82" s="18"/>
      <c r="C82" s="18"/>
      <c r="D82" s="102"/>
      <c r="E82" s="100"/>
      <c r="F82" s="190" t="s">
        <v>418</v>
      </c>
      <c r="G82" s="760" t="str">
        <f>Translations!$B$361</f>
        <v>Улица и номер:</v>
      </c>
      <c r="H82" s="761"/>
      <c r="I82" s="762"/>
      <c r="J82" s="758"/>
      <c r="K82" s="759"/>
      <c r="L82" s="759"/>
      <c r="M82" s="759"/>
      <c r="N82" s="759"/>
      <c r="O82" s="18"/>
      <c r="P82" s="18"/>
    </row>
    <row r="83" spans="2:16" ht="12.75">
      <c r="B83" s="18"/>
      <c r="C83" s="18"/>
      <c r="D83" s="102"/>
      <c r="E83" s="100"/>
      <c r="F83" s="190" t="s">
        <v>419</v>
      </c>
      <c r="G83" s="760" t="str">
        <f>Translations!$B$362</f>
        <v>Пощенски код:</v>
      </c>
      <c r="H83" s="761"/>
      <c r="I83" s="762"/>
      <c r="J83" s="758"/>
      <c r="K83" s="759"/>
      <c r="L83" s="759"/>
      <c r="M83" s="759"/>
      <c r="N83" s="759"/>
      <c r="O83" s="18"/>
      <c r="P83" s="18"/>
    </row>
    <row r="84" spans="2:16" ht="12.75">
      <c r="B84" s="18"/>
      <c r="C84" s="18"/>
      <c r="D84" s="102"/>
      <c r="E84" s="100"/>
      <c r="F84" s="190" t="s">
        <v>202</v>
      </c>
      <c r="G84" s="760" t="str">
        <f>Translations!$B$363</f>
        <v>Град:</v>
      </c>
      <c r="H84" s="761"/>
      <c r="I84" s="762"/>
      <c r="J84" s="758"/>
      <c r="K84" s="759"/>
      <c r="L84" s="759"/>
      <c r="M84" s="759"/>
      <c r="N84" s="759"/>
      <c r="O84" s="18"/>
      <c r="P84" s="18"/>
    </row>
    <row r="85" spans="2:16" ht="12.75">
      <c r="B85" s="18"/>
      <c r="C85" s="18"/>
      <c r="D85" s="102"/>
      <c r="E85" s="100"/>
      <c r="F85" s="190" t="s">
        <v>138</v>
      </c>
      <c r="G85" s="760" t="str">
        <f>Translations!$B$364</f>
        <v>Държава:</v>
      </c>
      <c r="H85" s="761"/>
      <c r="I85" s="762"/>
      <c r="J85" s="758"/>
      <c r="K85" s="759"/>
      <c r="L85" s="759"/>
      <c r="M85" s="759"/>
      <c r="N85" s="759"/>
      <c r="O85" s="18"/>
      <c r="P85" s="18"/>
    </row>
    <row r="86" spans="2:16" ht="12.75">
      <c r="B86" s="18"/>
      <c r="C86" s="18"/>
      <c r="D86" s="102"/>
      <c r="E86" s="100"/>
      <c r="F86" s="190" t="s">
        <v>139</v>
      </c>
      <c r="G86" s="760" t="str">
        <f>Translations!$B$365</f>
        <v>Име на упълномощен представител:</v>
      </c>
      <c r="H86" s="761"/>
      <c r="I86" s="762"/>
      <c r="J86" s="758"/>
      <c r="K86" s="759"/>
      <c r="L86" s="759"/>
      <c r="M86" s="759"/>
      <c r="N86" s="759"/>
      <c r="O86" s="18"/>
      <c r="P86" s="18"/>
    </row>
    <row r="87" spans="2:16" ht="12.75">
      <c r="B87" s="18"/>
      <c r="C87" s="18"/>
      <c r="D87" s="102"/>
      <c r="E87" s="100"/>
      <c r="F87" s="190" t="s">
        <v>140</v>
      </c>
      <c r="G87" s="760" t="str">
        <f>Translations!$B$366</f>
        <v>Електронна поща:</v>
      </c>
      <c r="H87" s="761"/>
      <c r="I87" s="762"/>
      <c r="J87" s="758"/>
      <c r="K87" s="759"/>
      <c r="L87" s="759"/>
      <c r="M87" s="759"/>
      <c r="N87" s="759"/>
      <c r="O87" s="18"/>
      <c r="P87" s="18"/>
    </row>
    <row r="88" spans="2:16" ht="12.75">
      <c r="B88" s="18"/>
      <c r="C88" s="18"/>
      <c r="D88" s="102"/>
      <c r="E88" s="100"/>
      <c r="F88" s="190" t="s">
        <v>141</v>
      </c>
      <c r="G88" s="760" t="str">
        <f>Translations!$B$367</f>
        <v>Телефон:</v>
      </c>
      <c r="H88" s="761"/>
      <c r="I88" s="762"/>
      <c r="J88" s="758"/>
      <c r="K88" s="759"/>
      <c r="L88" s="759"/>
      <c r="M88" s="759"/>
      <c r="N88" s="759"/>
      <c r="O88" s="18"/>
      <c r="P88" s="18"/>
    </row>
    <row r="89" spans="2:16" ht="12.75">
      <c r="B89" s="18"/>
      <c r="C89" s="18"/>
      <c r="D89" s="102"/>
      <c r="E89" s="100"/>
      <c r="F89" s="190" t="s">
        <v>142</v>
      </c>
      <c r="G89" s="789" t="str">
        <f>Translations!$B$368</f>
        <v>Факс:</v>
      </c>
      <c r="H89" s="790"/>
      <c r="I89" s="791"/>
      <c r="J89" s="847"/>
      <c r="K89" s="848"/>
      <c r="L89" s="848"/>
      <c r="M89" s="848"/>
      <c r="N89" s="848"/>
      <c r="O89" s="18"/>
      <c r="P89" s="18"/>
    </row>
    <row r="90" spans="2:17" ht="4.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9"/>
      <c r="N90" s="9"/>
      <c r="O90" s="9"/>
      <c r="P90" s="9"/>
      <c r="Q90" s="305"/>
    </row>
    <row r="91" spans="2:16" ht="12.75">
      <c r="B91" s="18"/>
      <c r="C91" s="18"/>
      <c r="D91" s="14" t="s">
        <v>479</v>
      </c>
      <c r="E91" s="846" t="str">
        <f>Translations!$B$369</f>
        <v>Адрес на инсталацията:</v>
      </c>
      <c r="F91" s="688"/>
      <c r="G91" s="688"/>
      <c r="H91" s="688"/>
      <c r="I91" s="688"/>
      <c r="J91" s="688"/>
      <c r="K91" s="688"/>
      <c r="L91" s="688"/>
      <c r="M91" s="688"/>
      <c r="N91" s="688"/>
      <c r="O91" s="18"/>
      <c r="P91" s="18"/>
    </row>
    <row r="92" spans="2:16" ht="12.75">
      <c r="B92" s="18"/>
      <c r="C92" s="18"/>
      <c r="D92" s="102"/>
      <c r="E92" s="100"/>
      <c r="F92" s="190" t="s">
        <v>417</v>
      </c>
      <c r="G92" s="849" t="str">
        <f>Translations!$B$361</f>
        <v>Улица и номер:</v>
      </c>
      <c r="H92" s="850"/>
      <c r="I92" s="851"/>
      <c r="J92" s="798"/>
      <c r="K92" s="799"/>
      <c r="L92" s="799"/>
      <c r="M92" s="799"/>
      <c r="N92" s="799"/>
      <c r="O92" s="18"/>
      <c r="P92" s="18"/>
    </row>
    <row r="93" spans="2:16" ht="12.75">
      <c r="B93" s="18"/>
      <c r="C93" s="18"/>
      <c r="D93" s="102"/>
      <c r="E93" s="100"/>
      <c r="F93" s="190" t="s">
        <v>418</v>
      </c>
      <c r="G93" s="760" t="str">
        <f>Translations!$B$362</f>
        <v>Пощенски код:</v>
      </c>
      <c r="H93" s="761"/>
      <c r="I93" s="762"/>
      <c r="J93" s="758"/>
      <c r="K93" s="759"/>
      <c r="L93" s="759"/>
      <c r="M93" s="759"/>
      <c r="N93" s="759"/>
      <c r="O93" s="18"/>
      <c r="P93" s="18"/>
    </row>
    <row r="94" spans="2:16" ht="12.75">
      <c r="B94" s="18"/>
      <c r="C94" s="18"/>
      <c r="D94" s="102"/>
      <c r="E94" s="100"/>
      <c r="F94" s="190" t="s">
        <v>419</v>
      </c>
      <c r="G94" s="760" t="str">
        <f>Translations!$B$363</f>
        <v>Град:</v>
      </c>
      <c r="H94" s="761"/>
      <c r="I94" s="762"/>
      <c r="J94" s="758"/>
      <c r="K94" s="759"/>
      <c r="L94" s="759"/>
      <c r="M94" s="759"/>
      <c r="N94" s="759"/>
      <c r="O94" s="18"/>
      <c r="P94" s="18"/>
    </row>
    <row r="95" spans="2:16" ht="12.75">
      <c r="B95" s="18"/>
      <c r="C95" s="18"/>
      <c r="D95" s="102"/>
      <c r="E95" s="100"/>
      <c r="F95" s="190" t="s">
        <v>202</v>
      </c>
      <c r="G95" s="789" t="str">
        <f>Translations!$B$364</f>
        <v>Държава:</v>
      </c>
      <c r="H95" s="790"/>
      <c r="I95" s="791"/>
      <c r="J95" s="847"/>
      <c r="K95" s="848"/>
      <c r="L95" s="848"/>
      <c r="M95" s="848"/>
      <c r="N95" s="848"/>
      <c r="O95" s="18"/>
      <c r="P95" s="18"/>
    </row>
    <row r="96" spans="2:17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9"/>
      <c r="N96" s="9"/>
      <c r="O96" s="9"/>
      <c r="P96" s="9"/>
      <c r="Q96" s="305"/>
    </row>
    <row r="97" spans="2:16" ht="15">
      <c r="B97" s="797"/>
      <c r="C97" s="16">
        <v>2</v>
      </c>
      <c r="D97" s="763" t="str">
        <f>Translations!$B$370</f>
        <v>Лица за контакти:</v>
      </c>
      <c r="E97" s="688"/>
      <c r="F97" s="688"/>
      <c r="G97" s="688"/>
      <c r="H97" s="688"/>
      <c r="I97" s="688"/>
      <c r="J97" s="688"/>
      <c r="K97" s="688"/>
      <c r="L97" s="688"/>
      <c r="M97" s="688"/>
      <c r="N97" s="688"/>
      <c r="O97" s="18"/>
      <c r="P97" s="18"/>
    </row>
    <row r="98" spans="2:16" ht="25.5" customHeight="1">
      <c r="B98" s="797"/>
      <c r="C98" s="3"/>
      <c r="D98" s="18"/>
      <c r="E98" s="737" t="str">
        <f>Translations!$B$371</f>
        <v>Моля, посочете тук лицата, към които компетентният орган може да се обърне, в случай че възникнат въпроси относно настоящия доклад, включително относно неговата верификация.</v>
      </c>
      <c r="F98" s="688"/>
      <c r="G98" s="688"/>
      <c r="H98" s="688"/>
      <c r="I98" s="688"/>
      <c r="J98" s="688"/>
      <c r="K98" s="688"/>
      <c r="L98" s="688"/>
      <c r="M98" s="688"/>
      <c r="N98" s="688"/>
      <c r="O98" s="18"/>
      <c r="P98" s="18"/>
    </row>
    <row r="99" spans="2:17" ht="4.5" customHeight="1">
      <c r="B99" s="797"/>
      <c r="C99" s="17"/>
      <c r="D99" s="5"/>
      <c r="E99" s="5"/>
      <c r="F99" s="5"/>
      <c r="G99" s="5"/>
      <c r="H99" s="5"/>
      <c r="I99" s="5"/>
      <c r="J99" s="5"/>
      <c r="K99" s="5"/>
      <c r="L99" s="5"/>
      <c r="M99" s="9"/>
      <c r="N99" s="9"/>
      <c r="O99" s="9"/>
      <c r="P99" s="9"/>
      <c r="Q99" s="305"/>
    </row>
    <row r="100" spans="2:16" ht="12.75" customHeight="1">
      <c r="B100" s="797"/>
      <c r="C100" s="17"/>
      <c r="D100" s="99" t="s">
        <v>452</v>
      </c>
      <c r="E100" s="846" t="str">
        <f>Translations!$B$372</f>
        <v>Първо лице за контакти по технически въпроси във връзка с данните за инсталацията:</v>
      </c>
      <c r="F100" s="688"/>
      <c r="G100" s="688"/>
      <c r="H100" s="688"/>
      <c r="I100" s="688"/>
      <c r="J100" s="688"/>
      <c r="K100" s="688"/>
      <c r="L100" s="688"/>
      <c r="M100" s="688"/>
      <c r="N100" s="688"/>
      <c r="O100" s="18"/>
      <c r="P100" s="18"/>
    </row>
    <row r="101" spans="2:16" ht="12.75" customHeight="1">
      <c r="B101" s="797"/>
      <c r="C101" s="17"/>
      <c r="D101" s="102"/>
      <c r="E101" s="100"/>
      <c r="F101" s="190" t="s">
        <v>417</v>
      </c>
      <c r="G101" s="849" t="str">
        <f>Translations!$B$373</f>
        <v>Име:</v>
      </c>
      <c r="H101" s="850"/>
      <c r="I101" s="851"/>
      <c r="J101" s="798"/>
      <c r="K101" s="799"/>
      <c r="L101" s="799"/>
      <c r="M101" s="799"/>
      <c r="N101" s="799"/>
      <c r="O101" s="18"/>
      <c r="P101" s="18"/>
    </row>
    <row r="102" spans="2:16" ht="12.75" customHeight="1">
      <c r="B102" s="797"/>
      <c r="C102" s="17"/>
      <c r="D102" s="102"/>
      <c r="E102" s="100"/>
      <c r="F102" s="190" t="s">
        <v>418</v>
      </c>
      <c r="G102" s="760" t="str">
        <f>Translations!$B$366</f>
        <v>Електронна поща:</v>
      </c>
      <c r="H102" s="761"/>
      <c r="I102" s="762"/>
      <c r="J102" s="758"/>
      <c r="K102" s="759"/>
      <c r="L102" s="759"/>
      <c r="M102" s="759"/>
      <c r="N102" s="759"/>
      <c r="O102" s="18"/>
      <c r="P102" s="18"/>
    </row>
    <row r="103" spans="2:16" ht="12.75" customHeight="1">
      <c r="B103" s="797"/>
      <c r="C103" s="17"/>
      <c r="D103" s="102"/>
      <c r="E103" s="100"/>
      <c r="F103" s="190" t="s">
        <v>419</v>
      </c>
      <c r="G103" s="760" t="str">
        <f>Translations!$B$367</f>
        <v>Телефон:</v>
      </c>
      <c r="H103" s="761"/>
      <c r="I103" s="762"/>
      <c r="J103" s="758"/>
      <c r="K103" s="759"/>
      <c r="L103" s="759"/>
      <c r="M103" s="759"/>
      <c r="N103" s="759"/>
      <c r="O103" s="18"/>
      <c r="P103" s="18"/>
    </row>
    <row r="104" spans="2:16" ht="12.75" customHeight="1">
      <c r="B104" s="797"/>
      <c r="C104" s="17"/>
      <c r="D104" s="102"/>
      <c r="E104" s="100"/>
      <c r="F104" s="190" t="s">
        <v>202</v>
      </c>
      <c r="G104" s="789" t="str">
        <f>Translations!$B$368</f>
        <v>Факс:</v>
      </c>
      <c r="H104" s="790"/>
      <c r="I104" s="791"/>
      <c r="J104" s="847"/>
      <c r="K104" s="848"/>
      <c r="L104" s="848"/>
      <c r="M104" s="848"/>
      <c r="N104" s="848"/>
      <c r="O104" s="18"/>
      <c r="P104" s="18"/>
    </row>
    <row r="105" spans="2:17" ht="4.5" customHeight="1">
      <c r="B105" s="797"/>
      <c r="C105" s="17"/>
      <c r="D105" s="5"/>
      <c r="E105" s="5"/>
      <c r="F105" s="5"/>
      <c r="G105" s="5"/>
      <c r="H105" s="5"/>
      <c r="I105" s="5"/>
      <c r="J105" s="5"/>
      <c r="K105" s="5"/>
      <c r="L105" s="5"/>
      <c r="M105" s="9"/>
      <c r="N105" s="9"/>
      <c r="O105" s="9"/>
      <c r="P105" s="9"/>
      <c r="Q105" s="305"/>
    </row>
    <row r="106" spans="2:16" ht="12.75" customHeight="1">
      <c r="B106" s="797"/>
      <c r="C106" s="17"/>
      <c r="D106" s="99" t="s">
        <v>243</v>
      </c>
      <c r="E106" s="846" t="str">
        <f>Translations!$B$374</f>
        <v>Алтернативно лице за контакти:</v>
      </c>
      <c r="F106" s="688"/>
      <c r="G106" s="688"/>
      <c r="H106" s="688"/>
      <c r="I106" s="688"/>
      <c r="J106" s="688"/>
      <c r="K106" s="688"/>
      <c r="L106" s="688"/>
      <c r="M106" s="688"/>
      <c r="N106" s="688"/>
      <c r="O106" s="18"/>
      <c r="P106" s="18"/>
    </row>
    <row r="107" spans="2:16" ht="12.75" customHeight="1">
      <c r="B107" s="797"/>
      <c r="C107" s="17"/>
      <c r="D107" s="102"/>
      <c r="E107" s="100"/>
      <c r="F107" s="190" t="s">
        <v>417</v>
      </c>
      <c r="G107" s="849" t="str">
        <f>Translations!$B$373</f>
        <v>Име:</v>
      </c>
      <c r="H107" s="850"/>
      <c r="I107" s="851"/>
      <c r="J107" s="854"/>
      <c r="K107" s="855"/>
      <c r="L107" s="855"/>
      <c r="M107" s="855"/>
      <c r="N107" s="855"/>
      <c r="O107" s="18"/>
      <c r="P107" s="18"/>
    </row>
    <row r="108" spans="2:16" ht="12.75" customHeight="1">
      <c r="B108" s="797"/>
      <c r="C108" s="17"/>
      <c r="D108" s="102"/>
      <c r="E108" s="100"/>
      <c r="F108" s="190" t="s">
        <v>418</v>
      </c>
      <c r="G108" s="760" t="str">
        <f>Translations!$B$366</f>
        <v>Електронна поща:</v>
      </c>
      <c r="H108" s="761"/>
      <c r="I108" s="762"/>
      <c r="J108" s="792"/>
      <c r="K108" s="793"/>
      <c r="L108" s="793"/>
      <c r="M108" s="793"/>
      <c r="N108" s="793"/>
      <c r="O108" s="18"/>
      <c r="P108" s="18"/>
    </row>
    <row r="109" spans="2:16" ht="12.75" customHeight="1">
      <c r="B109" s="797"/>
      <c r="C109" s="17"/>
      <c r="D109" s="102"/>
      <c r="E109" s="100"/>
      <c r="F109" s="190" t="s">
        <v>419</v>
      </c>
      <c r="G109" s="760" t="str">
        <f>Translations!$B$367</f>
        <v>Телефон:</v>
      </c>
      <c r="H109" s="761"/>
      <c r="I109" s="762"/>
      <c r="J109" s="792"/>
      <c r="K109" s="793"/>
      <c r="L109" s="793"/>
      <c r="M109" s="793"/>
      <c r="N109" s="793"/>
      <c r="O109" s="18"/>
      <c r="P109" s="18"/>
    </row>
    <row r="110" spans="2:16" ht="12.75" customHeight="1">
      <c r="B110" s="797"/>
      <c r="C110" s="17"/>
      <c r="D110" s="102"/>
      <c r="E110" s="100"/>
      <c r="F110" s="190" t="s">
        <v>202</v>
      </c>
      <c r="G110" s="789" t="str">
        <f>Translations!$B$368</f>
        <v>Факс:</v>
      </c>
      <c r="H110" s="790"/>
      <c r="I110" s="791"/>
      <c r="J110" s="847"/>
      <c r="K110" s="848"/>
      <c r="L110" s="848"/>
      <c r="M110" s="848"/>
      <c r="N110" s="848"/>
      <c r="O110" s="18"/>
      <c r="P110" s="18"/>
    </row>
    <row r="111" spans="2:17" ht="12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9"/>
      <c r="N111" s="9"/>
      <c r="O111" s="9"/>
      <c r="P111" s="9"/>
      <c r="Q111" s="305"/>
    </row>
    <row r="112" spans="2:16" ht="15">
      <c r="B112" s="797"/>
      <c r="C112" s="16">
        <v>3</v>
      </c>
      <c r="D112" s="763" t="str">
        <f>Translations!$B$375</f>
        <v>Следващи данни за инсталацията:</v>
      </c>
      <c r="E112" s="688"/>
      <c r="F112" s="688"/>
      <c r="G112" s="688"/>
      <c r="H112" s="688"/>
      <c r="I112" s="688"/>
      <c r="J112" s="688"/>
      <c r="K112" s="688"/>
      <c r="L112" s="688"/>
      <c r="M112" s="688"/>
      <c r="N112" s="688"/>
      <c r="O112" s="18"/>
      <c r="P112" s="18"/>
    </row>
    <row r="113" spans="2:17" ht="4.5" customHeight="1">
      <c r="B113" s="79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9"/>
      <c r="N113" s="9"/>
      <c r="O113" s="9"/>
      <c r="P113" s="9"/>
      <c r="Q113" s="305"/>
    </row>
    <row r="114" spans="2:16" ht="15" customHeight="1">
      <c r="B114" s="797"/>
      <c r="C114" s="3"/>
      <c r="D114" s="99" t="s">
        <v>452</v>
      </c>
      <c r="E114" s="689" t="str">
        <f>Translations!$B$376</f>
        <v>Дейности съгласно Приложение I на Директивата за Европейската схема за търговия с емисии:</v>
      </c>
      <c r="F114" s="688"/>
      <c r="G114" s="688"/>
      <c r="H114" s="688"/>
      <c r="I114" s="688"/>
      <c r="J114" s="688"/>
      <c r="K114" s="688"/>
      <c r="L114" s="688"/>
      <c r="M114" s="688"/>
      <c r="N114" s="688"/>
      <c r="O114" s="18"/>
      <c r="P114" s="18"/>
    </row>
    <row r="115" spans="2:16" ht="12.75" customHeight="1">
      <c r="B115" s="797"/>
      <c r="C115" s="17"/>
      <c r="D115" s="15"/>
      <c r="E115" s="737" t="str">
        <f>Translations!$B$377</f>
        <v>Доколкото е възможно, моля подредете списъка по реда на размера на преките емисии, започвайки с дейността, водеща до най-големи преки емисии  </v>
      </c>
      <c r="F115" s="688"/>
      <c r="G115" s="688"/>
      <c r="H115" s="688"/>
      <c r="I115" s="688"/>
      <c r="J115" s="688"/>
      <c r="K115" s="688"/>
      <c r="L115" s="688"/>
      <c r="M115" s="688"/>
      <c r="N115" s="688"/>
      <c r="O115" s="18"/>
      <c r="P115" s="18"/>
    </row>
    <row r="116" spans="2:17" ht="13.5" customHeight="1" thickBot="1">
      <c r="B116" s="797"/>
      <c r="C116" s="17"/>
      <c r="D116" s="102"/>
      <c r="E116" s="103" t="str">
        <f>Translations!$B$378</f>
        <v>Номер</v>
      </c>
      <c r="F116" s="104" t="str">
        <f>Translations!$B$379</f>
        <v>Наименование на дейността (съгласно Приложение I на Директивата за Европейската схема за търговия с емисии):</v>
      </c>
      <c r="G116" s="105"/>
      <c r="H116" s="106"/>
      <c r="I116" s="106"/>
      <c r="J116" s="107"/>
      <c r="K116" s="107"/>
      <c r="L116" s="107"/>
      <c r="M116" s="20"/>
      <c r="N116" s="20"/>
      <c r="O116" s="18"/>
      <c r="P116" s="18"/>
      <c r="Q116" s="299" t="s">
        <v>399</v>
      </c>
    </row>
    <row r="117" spans="2:17" ht="12.75" customHeight="1">
      <c r="B117" s="797"/>
      <c r="C117" s="17"/>
      <c r="D117" s="102"/>
      <c r="E117" s="343">
        <v>1</v>
      </c>
      <c r="F117" s="852"/>
      <c r="G117" s="853"/>
      <c r="H117" s="853"/>
      <c r="I117" s="853"/>
      <c r="J117" s="853"/>
      <c r="K117" s="853"/>
      <c r="L117" s="853"/>
      <c r="M117" s="853"/>
      <c r="N117" s="853"/>
      <c r="O117" s="18"/>
      <c r="P117" s="18"/>
      <c r="Q117" s="315">
        <f>IF(ISBLANK(F117),"",MATCH(F117,EUconst_AnnexIActivities,0))</f>
      </c>
    </row>
    <row r="118" spans="2:17" ht="12.75" customHeight="1">
      <c r="B118" s="797"/>
      <c r="C118" s="17"/>
      <c r="D118" s="102"/>
      <c r="E118" s="344">
        <f>E117+1</f>
        <v>2</v>
      </c>
      <c r="F118" s="756"/>
      <c r="G118" s="757"/>
      <c r="H118" s="757"/>
      <c r="I118" s="757"/>
      <c r="J118" s="757"/>
      <c r="K118" s="757"/>
      <c r="L118" s="757"/>
      <c r="M118" s="757"/>
      <c r="N118" s="757"/>
      <c r="O118" s="18"/>
      <c r="P118" s="18"/>
      <c r="Q118" s="316">
        <f>IF(ISBLANK(F118),"",MATCH(F118,EUconst_AnnexIActivities,0))</f>
      </c>
    </row>
    <row r="119" spans="2:17" ht="12.75" customHeight="1">
      <c r="B119" s="797"/>
      <c r="C119" s="17"/>
      <c r="D119" s="102"/>
      <c r="E119" s="344">
        <f>E118+1</f>
        <v>3</v>
      </c>
      <c r="F119" s="756"/>
      <c r="G119" s="757"/>
      <c r="H119" s="757"/>
      <c r="I119" s="757"/>
      <c r="J119" s="757"/>
      <c r="K119" s="757"/>
      <c r="L119" s="757"/>
      <c r="M119" s="757"/>
      <c r="N119" s="757"/>
      <c r="O119" s="18"/>
      <c r="P119" s="18"/>
      <c r="Q119" s="316">
        <f>IF(ISBLANK(F119),"",MATCH(F119,EUconst_AnnexIActivities,0))</f>
      </c>
    </row>
    <row r="120" spans="2:17" ht="12.75" customHeight="1">
      <c r="B120" s="797"/>
      <c r="C120" s="17"/>
      <c r="D120" s="102"/>
      <c r="E120" s="344">
        <f>E119+1</f>
        <v>4</v>
      </c>
      <c r="F120" s="756"/>
      <c r="G120" s="757"/>
      <c r="H120" s="757"/>
      <c r="I120" s="757"/>
      <c r="J120" s="757"/>
      <c r="K120" s="757"/>
      <c r="L120" s="757"/>
      <c r="M120" s="757"/>
      <c r="N120" s="757"/>
      <c r="O120" s="18"/>
      <c r="P120" s="18"/>
      <c r="Q120" s="316">
        <f>IF(ISBLANK(F120),"",MATCH(F120,EUconst_AnnexIActivities,0))</f>
      </c>
    </row>
    <row r="121" spans="2:17" ht="13.5" customHeight="1" thickBot="1">
      <c r="B121" s="797"/>
      <c r="C121" s="17"/>
      <c r="D121" s="102"/>
      <c r="E121" s="345">
        <f>E120+1</f>
        <v>5</v>
      </c>
      <c r="F121" s="868"/>
      <c r="G121" s="869"/>
      <c r="H121" s="869"/>
      <c r="I121" s="869"/>
      <c r="J121" s="869"/>
      <c r="K121" s="869"/>
      <c r="L121" s="869"/>
      <c r="M121" s="869"/>
      <c r="N121" s="869"/>
      <c r="O121" s="18"/>
      <c r="P121" s="18"/>
      <c r="Q121" s="317">
        <f>IF(ISBLANK(F121),"",MATCH(F121,EUconst_AnnexIActivities,0))</f>
      </c>
    </row>
    <row r="122" spans="2:16" ht="12.75" customHeight="1">
      <c r="B122" s="797"/>
      <c r="C122" s="17"/>
      <c r="D122" s="102"/>
      <c r="E122" s="100"/>
      <c r="F122" s="15"/>
      <c r="G122" s="15"/>
      <c r="H122" s="9"/>
      <c r="I122" s="9"/>
      <c r="J122" s="101"/>
      <c r="K122" s="101"/>
      <c r="L122" s="101"/>
      <c r="M122" s="18"/>
      <c r="N122" s="18"/>
      <c r="O122" s="18"/>
      <c r="P122" s="18"/>
    </row>
    <row r="123" spans="2:16" ht="25.5" customHeight="1">
      <c r="B123" s="797"/>
      <c r="C123" s="17"/>
      <c r="D123" s="99" t="s">
        <v>243</v>
      </c>
      <c r="E123" s="689" t="str">
        <f>Translations!$B$380</f>
        <v>По кой код от Статистическата класификация на икономическите дейности в ЕС (NACE code) Вашата фирма е докладвала съответна добавена стойност за целите на структурната икономическа статистика?</v>
      </c>
      <c r="F123" s="688"/>
      <c r="G123" s="688"/>
      <c r="H123" s="688"/>
      <c r="I123" s="688"/>
      <c r="J123" s="688"/>
      <c r="K123" s="688"/>
      <c r="L123" s="688"/>
      <c r="M123" s="688"/>
      <c r="N123" s="688"/>
      <c r="O123" s="18"/>
      <c r="P123" s="18"/>
    </row>
    <row r="124" spans="2:16" ht="12.75" customHeight="1">
      <c r="B124" s="797"/>
      <c r="C124" s="17"/>
      <c r="D124" s="15"/>
      <c r="E124" s="737" t="str">
        <f>Translations!$B$381</f>
        <v>Ако не сте сигурни какви данни да въведете тук, моля запитайте съответната национален статистически институт.</v>
      </c>
      <c r="F124" s="688"/>
      <c r="G124" s="688"/>
      <c r="H124" s="688"/>
      <c r="I124" s="688"/>
      <c r="J124" s="688"/>
      <c r="K124" s="688"/>
      <c r="L124" s="688"/>
      <c r="M124" s="688"/>
      <c r="N124" s="688"/>
      <c r="O124" s="18"/>
      <c r="P124" s="18"/>
    </row>
    <row r="125" spans="2:16" ht="12.75" customHeight="1">
      <c r="B125" s="797"/>
      <c r="C125" s="17"/>
      <c r="D125" s="15"/>
      <c r="E125" s="737" t="str">
        <f>Translations!$B$382</f>
        <v>Версията NACE rev 1.1 може да бъде намерена на следния уебсайт: </v>
      </c>
      <c r="F125" s="688"/>
      <c r="G125" s="688"/>
      <c r="H125" s="688"/>
      <c r="I125" s="688"/>
      <c r="J125" s="688"/>
      <c r="K125" s="688"/>
      <c r="L125" s="688"/>
      <c r="M125" s="688"/>
      <c r="N125" s="688"/>
      <c r="O125" s="18"/>
      <c r="P125" s="18"/>
    </row>
    <row r="126" spans="2:16" ht="12.75" customHeight="1">
      <c r="B126" s="797"/>
      <c r="C126" s="17"/>
      <c r="D126" s="15"/>
      <c r="E126" s="800" t="str">
        <f>Translations!$B$383</f>
        <v>http://ec.europa.eu/eurostat/ramon/nomenclatures/index.cfm?TargetUrl=LST_CLS_DLD&amp;StrNom=NACE_1_1&amp;StrLanguageCode=EN&amp;StrLayoutCode=HIERARCHIC</v>
      </c>
      <c r="F126" s="800"/>
      <c r="G126" s="800"/>
      <c r="H126" s="800"/>
      <c r="I126" s="800"/>
      <c r="J126" s="800"/>
      <c r="K126" s="800"/>
      <c r="L126" s="800"/>
      <c r="M126" s="800"/>
      <c r="N126" s="800"/>
      <c r="O126" s="18"/>
      <c r="P126" s="18"/>
    </row>
    <row r="127" spans="2:16" ht="12.75" customHeight="1">
      <c r="B127" s="797"/>
      <c r="C127" s="17"/>
      <c r="D127" s="15"/>
      <c r="E127" s="737" t="str">
        <f>Translations!$B$384</f>
        <v>Версията NACE rev 2.0 може да бъде намерена на следния уебсайт: </v>
      </c>
      <c r="F127" s="688"/>
      <c r="G127" s="688"/>
      <c r="H127" s="688"/>
      <c r="I127" s="688"/>
      <c r="J127" s="688"/>
      <c r="K127" s="688"/>
      <c r="L127" s="688"/>
      <c r="M127" s="688"/>
      <c r="N127" s="688"/>
      <c r="O127" s="18"/>
      <c r="P127" s="18"/>
    </row>
    <row r="128" spans="2:16" ht="12.75" customHeight="1">
      <c r="B128" s="797"/>
      <c r="C128" s="17"/>
      <c r="D128" s="15"/>
      <c r="E128" s="800" t="str">
        <f>Translations!$B$385</f>
        <v>http://ec.europa.eu/eurostat/ramon/nomenclatures/index.cfm?TargetUrl=LST_CLS_DLD&amp;StrNom=NACE_REV2&amp;StrLanguageCode=EN&amp;StrLayoutCode=HIERARCHIC</v>
      </c>
      <c r="F128" s="800"/>
      <c r="G128" s="800"/>
      <c r="H128" s="800"/>
      <c r="I128" s="800"/>
      <c r="J128" s="800"/>
      <c r="K128" s="800"/>
      <c r="L128" s="800"/>
      <c r="M128" s="800"/>
      <c r="N128" s="800"/>
      <c r="O128" s="18"/>
      <c r="P128" s="18"/>
    </row>
    <row r="129" spans="2:16" ht="12.75" customHeight="1">
      <c r="B129" s="797"/>
      <c r="C129" s="17"/>
      <c r="D129" s="15"/>
      <c r="E129" s="754" t="str">
        <f>Translations!$B$386</f>
        <v>Кодовете по NACE следва да бъдат въведени в четирицифрен формат „nnnn“, т.е. без всякакви точки или други разделителни знаци.</v>
      </c>
      <c r="F129" s="755"/>
      <c r="G129" s="755"/>
      <c r="H129" s="755"/>
      <c r="I129" s="755"/>
      <c r="J129" s="755"/>
      <c r="K129" s="755"/>
      <c r="L129" s="755"/>
      <c r="M129" s="755"/>
      <c r="N129" s="755"/>
      <c r="O129" s="18"/>
      <c r="P129" s="18"/>
    </row>
    <row r="130" spans="2:16" ht="12.75" customHeight="1">
      <c r="B130" s="797"/>
      <c r="C130" s="17"/>
      <c r="D130" s="15"/>
      <c r="E130" s="737" t="str">
        <f>Translations!$B$387</f>
        <v>Ако не въведете четирите цифри в правилния формат, ще получите съобщение за грешка.</v>
      </c>
      <c r="F130" s="688"/>
      <c r="G130" s="688"/>
      <c r="H130" s="688"/>
      <c r="I130" s="688"/>
      <c r="J130" s="688"/>
      <c r="K130" s="688"/>
      <c r="L130" s="688"/>
      <c r="M130" s="688"/>
      <c r="N130" s="688"/>
      <c r="O130" s="18"/>
      <c r="P130" s="18"/>
    </row>
    <row r="131" spans="2:16" ht="12.75" customHeight="1">
      <c r="B131" s="797"/>
      <c r="C131" s="17"/>
      <c r="D131" s="102"/>
      <c r="E131" s="188" t="s">
        <v>417</v>
      </c>
      <c r="F131" s="720" t="str">
        <f>Translations!$B$388</f>
        <v>Код по NACE, докладван за 2007 г., в съответствие с класификацията NACE rev 1.1:</v>
      </c>
      <c r="G131" s="688"/>
      <c r="H131" s="688"/>
      <c r="I131" s="688"/>
      <c r="J131" s="688"/>
      <c r="K131" s="764"/>
      <c r="L131" s="197"/>
      <c r="M131" s="18"/>
      <c r="N131" s="18"/>
      <c r="O131" s="18"/>
      <c r="P131" s="18"/>
    </row>
    <row r="132" spans="2:16" ht="12.75" customHeight="1">
      <c r="B132" s="797"/>
      <c r="C132" s="17"/>
      <c r="D132" s="102"/>
      <c r="E132" s="188" t="s">
        <v>418</v>
      </c>
      <c r="F132" s="720" t="str">
        <f>Translations!$B$389</f>
        <v>Код по NACE, докладван за 2010 г., в съответствие с класификацията NACE rev 2:</v>
      </c>
      <c r="G132" s="688"/>
      <c r="H132" s="688"/>
      <c r="I132" s="688"/>
      <c r="J132" s="688"/>
      <c r="K132" s="764"/>
      <c r="L132" s="197"/>
      <c r="M132" s="18"/>
      <c r="N132" s="18"/>
      <c r="O132" s="18"/>
      <c r="P132" s="18"/>
    </row>
    <row r="133" spans="2:16" ht="12.75" customHeight="1">
      <c r="B133" s="797"/>
      <c r="C133" s="17"/>
      <c r="D133" s="102"/>
      <c r="E133" s="100"/>
      <c r="F133" s="15"/>
      <c r="G133" s="15"/>
      <c r="H133" s="9"/>
      <c r="I133" s="9"/>
      <c r="J133" s="101"/>
      <c r="K133" s="101"/>
      <c r="L133" s="101"/>
      <c r="M133" s="18"/>
      <c r="N133" s="18"/>
      <c r="O133" s="18"/>
      <c r="P133" s="18"/>
    </row>
    <row r="134" spans="2:16" ht="12.75">
      <c r="B134" s="797"/>
      <c r="C134" s="18"/>
      <c r="D134" s="99" t="s">
        <v>449</v>
      </c>
      <c r="E134" s="689" t="str">
        <f>Translations!$B$390</f>
        <v>Моля, посочете идентификационния код в EPRTR, ако това е приложимо:</v>
      </c>
      <c r="F134" s="688"/>
      <c r="G134" s="688"/>
      <c r="H134" s="688"/>
      <c r="I134" s="688"/>
      <c r="J134" s="688"/>
      <c r="K134" s="764"/>
      <c r="L134" s="794"/>
      <c r="M134" s="795"/>
      <c r="N134" s="796"/>
      <c r="O134" s="18"/>
      <c r="P134" s="18"/>
    </row>
    <row r="135" spans="2:16" ht="12.75">
      <c r="B135" s="797"/>
      <c r="C135" s="18"/>
      <c r="D135" s="15"/>
      <c r="E135" s="737" t="str">
        <f>Translations!$B$391</f>
        <v>EPRTR е Европейският регистър за изпускане и пренос на замърсители.</v>
      </c>
      <c r="F135" s="688"/>
      <c r="G135" s="688"/>
      <c r="H135" s="688"/>
      <c r="I135" s="688"/>
      <c r="J135" s="688"/>
      <c r="K135" s="688"/>
      <c r="L135" s="688"/>
      <c r="M135" s="688"/>
      <c r="N135" s="688"/>
      <c r="O135" s="18"/>
      <c r="P135" s="18"/>
    </row>
    <row r="136" spans="2:16" ht="25.5" customHeight="1">
      <c r="B136" s="797"/>
      <c r="C136" s="18"/>
      <c r="D136" s="15"/>
      <c r="E136" s="737" t="str">
        <f>Translations!$B$392</f>
        <v>Тази информация е полезна за компетентните власти във връзка с проверките на съответствието и взаимната съгласуваност на източниците на екологична информация.</v>
      </c>
      <c r="F136" s="688"/>
      <c r="G136" s="688"/>
      <c r="H136" s="688"/>
      <c r="I136" s="688"/>
      <c r="J136" s="688"/>
      <c r="K136" s="688"/>
      <c r="L136" s="688"/>
      <c r="M136" s="688"/>
      <c r="N136" s="688"/>
      <c r="O136" s="18"/>
      <c r="P136" s="18"/>
    </row>
    <row r="137" spans="2:17" ht="4.5" customHeight="1">
      <c r="B137" s="79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9"/>
      <c r="N137" s="9"/>
      <c r="O137" s="9"/>
      <c r="P137" s="9"/>
      <c r="Q137" s="305"/>
    </row>
    <row r="138" spans="2:16" ht="12.75">
      <c r="B138" s="18"/>
      <c r="C138" s="18"/>
      <c r="D138" s="14" t="s">
        <v>123</v>
      </c>
      <c r="E138" s="689" t="str">
        <f>Translations!$B$394</f>
        <v>Инсталации, които се експлоатират само в отделни случаи:</v>
      </c>
      <c r="F138" s="688"/>
      <c r="G138" s="688"/>
      <c r="H138" s="688"/>
      <c r="I138" s="688"/>
      <c r="J138" s="688"/>
      <c r="K138" s="688"/>
      <c r="L138" s="688"/>
      <c r="M138" s="688"/>
      <c r="N138" s="688"/>
      <c r="O138" s="18"/>
      <c r="P138" s="18"/>
    </row>
    <row r="139" spans="2:16" ht="24.75" customHeight="1">
      <c r="B139" s="18"/>
      <c r="C139" s="18"/>
      <c r="D139" s="18"/>
      <c r="E139" s="737" t="str">
        <f>Translations!$B$395</f>
        <v>Това се отнася по-специално за инсталациите, държани като резервна мощност или в готовност за работа, както и за инсталациите със сезонен график на работа. </v>
      </c>
      <c r="F139" s="688"/>
      <c r="G139" s="688"/>
      <c r="H139" s="688"/>
      <c r="I139" s="688"/>
      <c r="J139" s="688"/>
      <c r="K139" s="688"/>
      <c r="L139" s="688"/>
      <c r="M139" s="688"/>
      <c r="N139" s="688"/>
      <c r="O139" s="18"/>
      <c r="P139" s="18"/>
    </row>
    <row r="140" spans="2:16" ht="12.75">
      <c r="B140" s="18"/>
      <c r="C140" s="18"/>
      <c r="D140" s="18"/>
      <c r="E140" s="737" t="str">
        <f>Translations!$B$396</f>
        <v>Условия:</v>
      </c>
      <c r="F140" s="688"/>
      <c r="G140" s="688"/>
      <c r="H140" s="688"/>
      <c r="I140" s="688"/>
      <c r="J140" s="688"/>
      <c r="K140" s="688"/>
      <c r="L140" s="688"/>
      <c r="M140" s="688"/>
      <c r="N140" s="688"/>
      <c r="O140" s="18"/>
      <c r="P140" s="18"/>
    </row>
    <row r="141" spans="2:16" ht="25.5" customHeight="1">
      <c r="B141" s="18"/>
      <c r="C141" s="18"/>
      <c r="D141" s="18"/>
      <c r="E141" s="67" t="s">
        <v>285</v>
      </c>
      <c r="F141" s="742" t="str">
        <f>Translations!$B$397</f>
        <v>трябва да бъде ясно показано, че съответната инсталация се използва само в отделни случаи — по-специално, че редовно се експлоатира в режим на готовност или като резервна мощност, или че редовно се експлоатира по сезонен график;</v>
      </c>
      <c r="G141" s="742"/>
      <c r="H141" s="742"/>
      <c r="I141" s="742"/>
      <c r="J141" s="742"/>
      <c r="K141" s="742"/>
      <c r="L141" s="742"/>
      <c r="M141" s="742"/>
      <c r="N141" s="742"/>
      <c r="O141" s="18"/>
      <c r="P141" s="18"/>
    </row>
    <row r="142" spans="2:16" ht="25.5" customHeight="1">
      <c r="B142" s="18"/>
      <c r="C142" s="18"/>
      <c r="D142" s="18"/>
      <c r="E142" s="67" t="s">
        <v>285</v>
      </c>
      <c r="F142" s="742" t="str">
        <f>Translations!$B$398</f>
        <v>инсталацията трябва да е обхваната от разрешително за емисии на парникови газове и от всички останали разрешителни по националната нормативна уредба на държавата-членка, необходими за експлоатация на инсталацията;</v>
      </c>
      <c r="G142" s="742"/>
      <c r="H142" s="742"/>
      <c r="I142" s="742"/>
      <c r="J142" s="742"/>
      <c r="K142" s="742"/>
      <c r="L142" s="742"/>
      <c r="M142" s="742"/>
      <c r="N142" s="742"/>
      <c r="O142" s="18"/>
      <c r="P142" s="18"/>
    </row>
    <row r="143" spans="2:16" ht="12.75">
      <c r="B143" s="18"/>
      <c r="C143" s="18"/>
      <c r="D143" s="18"/>
      <c r="E143" s="67" t="s">
        <v>285</v>
      </c>
      <c r="F143" s="742" t="str">
        <f>Translations!$B$399</f>
        <v>технически е възможно работата на инсталацията да започне в най-кратък срок и съответните ремонтни дейности се провеждат редовно.</v>
      </c>
      <c r="G143" s="742"/>
      <c r="H143" s="742"/>
      <c r="I143" s="742"/>
      <c r="J143" s="742"/>
      <c r="K143" s="742"/>
      <c r="L143" s="742"/>
      <c r="M143" s="742"/>
      <c r="N143" s="742"/>
      <c r="O143" s="18"/>
      <c r="P143" s="18"/>
    </row>
    <row r="144" spans="2:16" ht="12.75">
      <c r="B144" s="18"/>
      <c r="C144" s="18"/>
      <c r="D144" s="18"/>
      <c r="E144" s="689" t="str">
        <f>Translations!$B$400</f>
        <v>Моля потвърдете тук, че Вашата инсталация съответства на посочените критерии:</v>
      </c>
      <c r="F144" s="688"/>
      <c r="G144" s="688"/>
      <c r="H144" s="688"/>
      <c r="I144" s="688"/>
      <c r="J144" s="688"/>
      <c r="K144" s="688"/>
      <c r="L144" s="787"/>
      <c r="M144" s="788"/>
      <c r="N144" s="340">
        <f>IF(CNTR_HasEntries_A_II,IF(L144="",EUconst_Incomplete,""),"")</f>
      </c>
      <c r="O144" s="18"/>
      <c r="P144" s="18"/>
    </row>
    <row r="145" spans="2:16" ht="12.75">
      <c r="B145" s="18"/>
      <c r="C145" s="18"/>
      <c r="D145" s="102"/>
      <c r="E145" s="100"/>
      <c r="F145" s="15"/>
      <c r="G145" s="15"/>
      <c r="H145" s="9"/>
      <c r="I145" s="9"/>
      <c r="J145" s="101"/>
      <c r="K145" s="101"/>
      <c r="L145" s="101"/>
      <c r="M145" s="18"/>
      <c r="N145" s="18"/>
      <c r="O145" s="18"/>
      <c r="P145" s="18"/>
    </row>
    <row r="146" spans="2:16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26" s="485" customFormat="1" ht="18" customHeight="1">
      <c r="A147" s="4"/>
      <c r="B147" s="208"/>
      <c r="C147" s="281" t="s">
        <v>124</v>
      </c>
      <c r="D147" s="297" t="str">
        <f>Translations!$B$403</f>
        <v>Списък на техническите връзки</v>
      </c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09"/>
      <c r="P147" s="209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</row>
    <row r="148" spans="2:17" ht="4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9"/>
      <c r="N148" s="9"/>
      <c r="O148" s="9"/>
      <c r="P148" s="9"/>
      <c r="Q148" s="305"/>
    </row>
    <row r="149" spans="2:16" ht="12.75">
      <c r="B149" s="18"/>
      <c r="C149" s="18"/>
      <c r="D149" s="99" t="s">
        <v>452</v>
      </c>
      <c r="E149" s="689" t="str">
        <f>Translations!$B$404</f>
        <v>Моля, въведете тук информацията, необходима за определяне на техническите връзки на Вашата инсталация:</v>
      </c>
      <c r="F149" s="688"/>
      <c r="G149" s="688"/>
      <c r="H149" s="688"/>
      <c r="I149" s="688"/>
      <c r="J149" s="688"/>
      <c r="K149" s="688"/>
      <c r="L149" s="688"/>
      <c r="M149" s="688"/>
      <c r="N149" s="688"/>
      <c r="O149" s="18"/>
      <c r="P149" s="18"/>
    </row>
    <row r="150" spans="2:16" ht="22.5" customHeight="1">
      <c r="B150" s="18"/>
      <c r="C150" s="18"/>
      <c r="D150" s="108"/>
      <c r="E150" s="742" t="str">
        <f>Translations!$B$405</f>
        <v>Тази информация е необходима на компетентния орган за осигуряване на съответствието на подадените данни, както и за недопускане на двойно отчитане на данни във връзка с предоставянето на емисии.</v>
      </c>
      <c r="F150" s="667"/>
      <c r="G150" s="667"/>
      <c r="H150" s="667"/>
      <c r="I150" s="667"/>
      <c r="J150" s="667"/>
      <c r="K150" s="667"/>
      <c r="L150" s="667"/>
      <c r="M150" s="667"/>
      <c r="N150" s="667"/>
      <c r="O150" s="18"/>
      <c r="P150" s="18"/>
    </row>
    <row r="151" spans="2:16" ht="23.25" customHeight="1">
      <c r="B151" s="18"/>
      <c r="C151" s="18"/>
      <c r="D151" s="108"/>
      <c r="E151" s="742" t="str">
        <f>Translations!$B$406</f>
        <v>Имат значение само тези случаи, при които през границите на инсталацията преминава или измерима топлинна енергия, или отпадъчни газове или CO2 във връзка с дейности за улавяне и съхранение на CO2.</v>
      </c>
      <c r="F151" s="667"/>
      <c r="G151" s="667"/>
      <c r="H151" s="667"/>
      <c r="I151" s="667"/>
      <c r="J151" s="667"/>
      <c r="K151" s="667"/>
      <c r="L151" s="667"/>
      <c r="M151" s="667"/>
      <c r="N151" s="667"/>
      <c r="O151" s="18"/>
      <c r="P151" s="18"/>
    </row>
    <row r="152" spans="2:16" ht="12.75">
      <c r="B152" s="18"/>
      <c r="C152" s="18"/>
      <c r="D152" s="108"/>
      <c r="E152" s="742" t="str">
        <f>Translations!$B$407</f>
        <v>„Входящ поток“ („Import“) означава, че нещо влиза в границите на разглежданата инсталация, „изходящ поток“ („export“) означава, че нещо излиза от тях.</v>
      </c>
      <c r="F152" s="667"/>
      <c r="G152" s="667"/>
      <c r="H152" s="667"/>
      <c r="I152" s="667"/>
      <c r="J152" s="667"/>
      <c r="K152" s="667"/>
      <c r="L152" s="667"/>
      <c r="M152" s="667"/>
      <c r="N152" s="667"/>
      <c r="O152" s="18"/>
      <c r="P152" s="18"/>
    </row>
    <row r="153" spans="2:16" ht="3.75" customHeight="1">
      <c r="B153" s="18"/>
      <c r="C153" s="18"/>
      <c r="D153" s="108"/>
      <c r="E153" s="742">
        <f>Translations!$B$408</f>
        <v>0</v>
      </c>
      <c r="F153" s="667"/>
      <c r="G153" s="667"/>
      <c r="H153" s="667"/>
      <c r="I153" s="667"/>
      <c r="J153" s="667"/>
      <c r="K153" s="667"/>
      <c r="L153" s="667"/>
      <c r="M153" s="667"/>
      <c r="N153" s="667"/>
      <c r="O153" s="18"/>
      <c r="P153" s="18"/>
    </row>
    <row r="154" spans="2:16" ht="12.75">
      <c r="B154" s="18"/>
      <c r="C154" s="18"/>
      <c r="D154" s="108"/>
      <c r="E154" s="742" t="str">
        <f>Translations!$B$409</f>
        <v>В колоната „Вид на обекта“ може да изберете между следните възможности:</v>
      </c>
      <c r="F154" s="667"/>
      <c r="G154" s="667"/>
      <c r="H154" s="667"/>
      <c r="I154" s="667"/>
      <c r="J154" s="667"/>
      <c r="K154" s="667"/>
      <c r="L154" s="667"/>
      <c r="M154" s="667"/>
      <c r="N154" s="667"/>
      <c r="O154" s="18"/>
      <c r="P154" s="18"/>
    </row>
    <row r="155" spans="2:16" ht="12.75">
      <c r="B155" s="18"/>
      <c r="C155" s="18"/>
      <c r="D155" s="108"/>
      <c r="E155" s="67" t="s">
        <v>285</v>
      </c>
      <c r="F155" s="737" t="str">
        <f>Translations!$B$20</f>
        <v>Инсталация в обхвата на Европейската схема за търговия с емисии (ЕСТЕ)</v>
      </c>
      <c r="G155" s="688"/>
      <c r="H155" s="688"/>
      <c r="I155" s="688"/>
      <c r="J155" s="688"/>
      <c r="K155" s="688"/>
      <c r="L155" s="688"/>
      <c r="M155" s="688"/>
      <c r="N155" s="688"/>
      <c r="O155" s="18"/>
      <c r="P155" s="18"/>
    </row>
    <row r="156" spans="2:16" ht="12.75">
      <c r="B156" s="18"/>
      <c r="C156" s="18"/>
      <c r="D156" s="108"/>
      <c r="E156" s="67" t="s">
        <v>285</v>
      </c>
      <c r="F156" s="737" t="str">
        <f>Translations!$B$21</f>
        <v>Инсталация извън обхвата на Европейската схема за търговия с емисии (ЕСТЕ)</v>
      </c>
      <c r="G156" s="688"/>
      <c r="H156" s="688"/>
      <c r="I156" s="688"/>
      <c r="J156" s="688"/>
      <c r="K156" s="688"/>
      <c r="L156" s="688"/>
      <c r="M156" s="688"/>
      <c r="N156" s="688"/>
      <c r="O156" s="18"/>
      <c r="P156" s="18"/>
    </row>
    <row r="157" spans="2:16" ht="12.75">
      <c r="B157" s="18"/>
      <c r="C157" s="18"/>
      <c r="D157" s="108"/>
      <c r="E157" s="67" t="s">
        <v>285</v>
      </c>
      <c r="F157" s="737" t="str">
        <f>Translations!$B$22</f>
        <v>Инсталация, произвеждаща азотна киселина</v>
      </c>
      <c r="G157" s="688"/>
      <c r="H157" s="688"/>
      <c r="I157" s="688"/>
      <c r="J157" s="688"/>
      <c r="K157" s="688"/>
      <c r="L157" s="688"/>
      <c r="M157" s="688"/>
      <c r="N157" s="688"/>
      <c r="O157" s="18"/>
      <c r="P157" s="18"/>
    </row>
    <row r="158" spans="2:16" ht="12.75">
      <c r="B158" s="18"/>
      <c r="C158" s="18"/>
      <c r="D158" s="108"/>
      <c r="E158" s="67" t="s">
        <v>285</v>
      </c>
      <c r="F158" s="737" t="str">
        <f>Translations!$B$23</f>
        <v>Топлопреносна мрежа</v>
      </c>
      <c r="G158" s="688"/>
      <c r="H158" s="688"/>
      <c r="I158" s="688"/>
      <c r="J158" s="688"/>
      <c r="K158" s="688"/>
      <c r="L158" s="688"/>
      <c r="M158" s="688"/>
      <c r="N158" s="688"/>
      <c r="O158" s="18"/>
      <c r="P158" s="18"/>
    </row>
    <row r="159" spans="2:16" ht="12.75">
      <c r="B159" s="18"/>
      <c r="C159" s="18"/>
      <c r="D159" s="108"/>
      <c r="E159" s="738" t="str">
        <f>Translations!$B$410</f>
        <v>Специален случай: Производство на азотна киселина:</v>
      </c>
      <c r="F159" s="672"/>
      <c r="G159" s="672"/>
      <c r="H159" s="672"/>
      <c r="I159" s="672"/>
      <c r="J159" s="672"/>
      <c r="K159" s="672"/>
      <c r="L159" s="672"/>
      <c r="M159" s="672"/>
      <c r="N159" s="672"/>
      <c r="O159" s="18"/>
      <c r="P159" s="18"/>
    </row>
    <row r="160" spans="2:16" ht="12.75">
      <c r="B160" s="18"/>
      <c r="C160" s="18"/>
      <c r="D160" s="108"/>
      <c r="E160" s="67" t="s">
        <v>285</v>
      </c>
      <c r="F160" s="737" t="str">
        <f>Translations!$B$411</f>
        <v>Ако Вашата инсталация използва топлина от производството на азотна киселина, моля изберете тази опция.</v>
      </c>
      <c r="G160" s="688"/>
      <c r="H160" s="688"/>
      <c r="I160" s="688"/>
      <c r="J160" s="688"/>
      <c r="K160" s="688"/>
      <c r="L160" s="688"/>
      <c r="M160" s="688"/>
      <c r="N160" s="688"/>
      <c r="O160" s="18"/>
      <c r="P160" s="18"/>
    </row>
    <row r="161" spans="2:16" ht="22.5" customHeight="1">
      <c r="B161" s="18"/>
      <c r="C161" s="18"/>
      <c r="D161" s="108"/>
      <c r="E161" s="67" t="s">
        <v>285</v>
      </c>
      <c r="F161" s="737" t="str">
        <f>Translations!$B$412</f>
        <v>Моля да отбележите този факт дори и ако производството на азотна киселина става в рамките на Вашата инсталация, а не само ако Вашата инсталация е свързана с подобна инсталация.</v>
      </c>
      <c r="G161" s="688"/>
      <c r="H161" s="688"/>
      <c r="I161" s="688"/>
      <c r="J161" s="688"/>
      <c r="K161" s="688"/>
      <c r="L161" s="688"/>
      <c r="M161" s="688"/>
      <c r="N161" s="688"/>
      <c r="O161" s="18"/>
      <c r="P161" s="18"/>
    </row>
    <row r="162" spans="2:16" ht="12.75">
      <c r="B162" s="18"/>
      <c r="C162" s="18"/>
      <c r="D162" s="108"/>
      <c r="E162" s="67" t="s">
        <v>285</v>
      </c>
      <c r="F162" s="737" t="str">
        <f>Translations!$B$413</f>
        <v>Тази информация има значение за топлинния баланс (работен лист „E_EnergyFlows“, Раздел II</v>
      </c>
      <c r="G162" s="688"/>
      <c r="H162" s="688"/>
      <c r="I162" s="688"/>
      <c r="J162" s="688"/>
      <c r="K162" s="688"/>
      <c r="L162" s="688"/>
      <c r="M162" s="688"/>
      <c r="N162" s="688"/>
      <c r="O162" s="18"/>
      <c r="P162" s="18"/>
    </row>
    <row r="163" spans="2:16" ht="12.75">
      <c r="B163" s="18"/>
      <c r="C163" s="18"/>
      <c r="D163" s="108"/>
      <c r="E163" s="742" t="str">
        <f>Translations!$B$414</f>
        <v>Опциите за видове връзки са:</v>
      </c>
      <c r="F163" s="667"/>
      <c r="G163" s="667"/>
      <c r="H163" s="667"/>
      <c r="I163" s="667"/>
      <c r="J163" s="667"/>
      <c r="K163" s="667"/>
      <c r="L163" s="667"/>
      <c r="M163" s="667"/>
      <c r="N163" s="667"/>
      <c r="O163" s="18"/>
      <c r="P163" s="18"/>
    </row>
    <row r="164" spans="2:16" ht="12.75">
      <c r="B164" s="18"/>
      <c r="C164" s="18"/>
      <c r="D164" s="108"/>
      <c r="E164" s="67" t="s">
        <v>285</v>
      </c>
      <c r="F164" s="737" t="str">
        <f>Translations!$B$24</f>
        <v>Измерима топлинна енергия</v>
      </c>
      <c r="G164" s="688"/>
      <c r="H164" s="688"/>
      <c r="I164" s="688"/>
      <c r="J164" s="688"/>
      <c r="K164" s="688"/>
      <c r="L164" s="688"/>
      <c r="M164" s="688"/>
      <c r="N164" s="688"/>
      <c r="O164" s="18"/>
      <c r="P164" s="18"/>
    </row>
    <row r="165" spans="2:16" ht="12.75">
      <c r="B165" s="18"/>
      <c r="C165" s="18"/>
      <c r="D165" s="108"/>
      <c r="E165" s="67" t="s">
        <v>285</v>
      </c>
      <c r="F165" s="737" t="str">
        <f>Translations!$B$25</f>
        <v>отпадъчен газ</v>
      </c>
      <c r="G165" s="688"/>
      <c r="H165" s="688"/>
      <c r="I165" s="688"/>
      <c r="J165" s="688"/>
      <c r="K165" s="688"/>
      <c r="L165" s="688"/>
      <c r="M165" s="688"/>
      <c r="N165" s="688"/>
      <c r="O165" s="18"/>
      <c r="P165" s="18"/>
    </row>
    <row r="166" spans="2:16" ht="12.75">
      <c r="B166" s="18"/>
      <c r="C166" s="18"/>
      <c r="D166" s="108"/>
      <c r="E166" s="67" t="s">
        <v>285</v>
      </c>
      <c r="F166" s="737" t="str">
        <f>Translations!$B$26</f>
        <v>прехвърлен СО2 (при улавяне и съхранение на СО2 — CCS)</v>
      </c>
      <c r="G166" s="688"/>
      <c r="H166" s="688"/>
      <c r="I166" s="688"/>
      <c r="J166" s="688"/>
      <c r="K166" s="688"/>
      <c r="L166" s="688"/>
      <c r="M166" s="688"/>
      <c r="N166" s="688"/>
      <c r="O166" s="18"/>
      <c r="P166" s="18"/>
    </row>
    <row r="167" spans="2:16" ht="12.75">
      <c r="B167" s="18"/>
      <c r="C167" s="18"/>
      <c r="D167" s="108"/>
      <c r="E167" s="742" t="str">
        <f>Translations!$B$415</f>
        <v>Опциите за посока на потоците са (от гледна точка на разглежданата инсталация):</v>
      </c>
      <c r="F167" s="667"/>
      <c r="G167" s="667"/>
      <c r="H167" s="667"/>
      <c r="I167" s="667"/>
      <c r="J167" s="667"/>
      <c r="K167" s="667"/>
      <c r="L167" s="667"/>
      <c r="M167" s="667"/>
      <c r="N167" s="667"/>
      <c r="O167" s="18"/>
      <c r="P167" s="18"/>
    </row>
    <row r="168" spans="2:16" ht="12.75">
      <c r="B168" s="18"/>
      <c r="C168" s="18"/>
      <c r="D168" s="108"/>
      <c r="E168" s="67" t="s">
        <v>285</v>
      </c>
      <c r="F168" s="737" t="str">
        <f>Translations!$B$416</f>
        <v>Входящ поток (към разглежданата инсталация)</v>
      </c>
      <c r="G168" s="688"/>
      <c r="H168" s="688"/>
      <c r="I168" s="688"/>
      <c r="J168" s="688"/>
      <c r="K168" s="688"/>
      <c r="L168" s="688"/>
      <c r="M168" s="688"/>
      <c r="N168" s="688"/>
      <c r="O168" s="18"/>
      <c r="P168" s="18"/>
    </row>
    <row r="169" spans="2:16" ht="12.75">
      <c r="B169" s="18"/>
      <c r="C169" s="18"/>
      <c r="D169" s="108"/>
      <c r="E169" s="67" t="s">
        <v>285</v>
      </c>
      <c r="F169" s="737" t="str">
        <f>Translations!$B$417</f>
        <v>Изходящ поток (от разглежданата инсталация)</v>
      </c>
      <c r="G169" s="688"/>
      <c r="H169" s="688"/>
      <c r="I169" s="688"/>
      <c r="J169" s="688"/>
      <c r="K169" s="688"/>
      <c r="L169" s="688"/>
      <c r="M169" s="688"/>
      <c r="N169" s="688"/>
      <c r="O169" s="18"/>
      <c r="P169" s="18"/>
    </row>
    <row r="170" spans="2:17" ht="4.5" customHeight="1">
      <c r="B170" s="5"/>
      <c r="C170" s="5"/>
      <c r="D170" s="38"/>
      <c r="E170" s="5"/>
      <c r="F170" s="5"/>
      <c r="G170" s="5"/>
      <c r="H170" s="5"/>
      <c r="I170" s="5"/>
      <c r="J170" s="5"/>
      <c r="K170" s="5"/>
      <c r="L170" s="5"/>
      <c r="M170" s="9"/>
      <c r="N170" s="9"/>
      <c r="O170" s="9"/>
      <c r="P170" s="9"/>
      <c r="Q170" s="305"/>
    </row>
    <row r="171" spans="2:19" ht="27" customHeight="1" thickBot="1">
      <c r="B171" s="18"/>
      <c r="C171" s="18"/>
      <c r="D171" s="29"/>
      <c r="E171" s="203" t="str">
        <f>Translations!$B$401</f>
        <v>№</v>
      </c>
      <c r="F171" s="803" t="str">
        <f>Translations!$B$418</f>
        <v>Наименование на инсталацията или обекта</v>
      </c>
      <c r="G171" s="804"/>
      <c r="H171" s="815"/>
      <c r="I171" s="803" t="str">
        <f>Translations!$B$419</f>
        <v>Вид на обекта</v>
      </c>
      <c r="J171" s="815"/>
      <c r="K171" s="803" t="str">
        <f>Translations!$B$420</f>
        <v>Вид връзка</v>
      </c>
      <c r="L171" s="815"/>
      <c r="M171" s="803" t="str">
        <f>Translations!$B$421</f>
        <v>Посока на потока</v>
      </c>
      <c r="N171" s="804"/>
      <c r="O171" s="18"/>
      <c r="P171" s="18"/>
      <c r="Q171" s="311"/>
      <c r="R171" s="311" t="s">
        <v>487</v>
      </c>
      <c r="S171" s="321" t="s">
        <v>133</v>
      </c>
    </row>
    <row r="172" spans="2:19" ht="12.75">
      <c r="B172" s="18"/>
      <c r="C172" s="18"/>
      <c r="D172" s="29"/>
      <c r="E172" s="30">
        <v>1</v>
      </c>
      <c r="F172" s="806"/>
      <c r="G172" s="807"/>
      <c r="H172" s="808"/>
      <c r="I172" s="809"/>
      <c r="J172" s="814"/>
      <c r="K172" s="809"/>
      <c r="L172" s="808"/>
      <c r="M172" s="810"/>
      <c r="N172" s="811"/>
      <c r="O172" s="18"/>
      <c r="P172" s="18"/>
      <c r="Q172" s="311"/>
      <c r="R172" s="318">
        <f>IF(NOT(ISBLANK(F172)),COUNTA($F$172:$F172),"")</f>
      </c>
      <c r="S172" s="318">
        <f>IF(ISBLANK(I172),"",OR(MATCH(I172,EUconst_ConnectedEntityTypes,0)=1,MATCH(I172,EUconst_ConnectedEntityTypes,0)=3))</f>
      </c>
    </row>
    <row r="173" spans="2:19" ht="12.75">
      <c r="B173" s="18"/>
      <c r="C173" s="18"/>
      <c r="D173" s="29"/>
      <c r="E173" s="31">
        <f>E172+1</f>
        <v>2</v>
      </c>
      <c r="F173" s="801"/>
      <c r="G173" s="818"/>
      <c r="H173" s="802"/>
      <c r="I173" s="801"/>
      <c r="J173" s="805"/>
      <c r="K173" s="801"/>
      <c r="L173" s="802"/>
      <c r="M173" s="812"/>
      <c r="N173" s="813"/>
      <c r="O173" s="18"/>
      <c r="P173" s="18"/>
      <c r="Q173" s="311"/>
      <c r="R173" s="319">
        <f>IF(NOT(ISBLANK(F173)),COUNTA($F$172:$F173),"")</f>
      </c>
      <c r="S173" s="319">
        <f aca="true" t="shared" si="0" ref="S173:S181">IF(ISBLANK(I173),"",OR(MATCH(I173,EUconst_ConnectedEntityTypes,0)=1,MATCH(I173,EUconst_ConnectedEntityTypes,0)=3))</f>
      </c>
    </row>
    <row r="174" spans="2:19" ht="12.75">
      <c r="B174" s="18"/>
      <c r="C174" s="18"/>
      <c r="D174" s="29"/>
      <c r="E174" s="31">
        <f aca="true" t="shared" si="1" ref="E174:E181">E173+1</f>
        <v>3</v>
      </c>
      <c r="F174" s="801"/>
      <c r="G174" s="818"/>
      <c r="H174" s="802"/>
      <c r="I174" s="801"/>
      <c r="J174" s="805"/>
      <c r="K174" s="801"/>
      <c r="L174" s="802"/>
      <c r="M174" s="812"/>
      <c r="N174" s="813"/>
      <c r="O174" s="18"/>
      <c r="P174" s="18"/>
      <c r="Q174" s="311"/>
      <c r="R174" s="319">
        <f>IF(NOT(ISBLANK(F174)),COUNTA($F$172:$F174),"")</f>
      </c>
      <c r="S174" s="319">
        <f t="shared" si="0"/>
      </c>
    </row>
    <row r="175" spans="2:19" ht="12.75">
      <c r="B175" s="18"/>
      <c r="C175" s="18"/>
      <c r="D175" s="29"/>
      <c r="E175" s="31">
        <f t="shared" si="1"/>
        <v>4</v>
      </c>
      <c r="F175" s="801"/>
      <c r="G175" s="818"/>
      <c r="H175" s="802"/>
      <c r="I175" s="801"/>
      <c r="J175" s="805"/>
      <c r="K175" s="801"/>
      <c r="L175" s="802"/>
      <c r="M175" s="812"/>
      <c r="N175" s="813"/>
      <c r="O175" s="18"/>
      <c r="P175" s="18"/>
      <c r="Q175" s="311"/>
      <c r="R175" s="319">
        <f>IF(NOT(ISBLANK(F175)),COUNTA($F$172:$F175),"")</f>
      </c>
      <c r="S175" s="319">
        <f t="shared" si="0"/>
      </c>
    </row>
    <row r="176" spans="2:19" ht="12.75">
      <c r="B176" s="18"/>
      <c r="C176" s="18"/>
      <c r="D176" s="29"/>
      <c r="E176" s="31">
        <f t="shared" si="1"/>
        <v>5</v>
      </c>
      <c r="F176" s="801"/>
      <c r="G176" s="818"/>
      <c r="H176" s="802"/>
      <c r="I176" s="801"/>
      <c r="J176" s="805"/>
      <c r="K176" s="801"/>
      <c r="L176" s="802"/>
      <c r="M176" s="812"/>
      <c r="N176" s="813"/>
      <c r="O176" s="18"/>
      <c r="P176" s="18"/>
      <c r="Q176" s="311"/>
      <c r="R176" s="319">
        <f>IF(NOT(ISBLANK(F176)),COUNTA($F$172:$F176),"")</f>
      </c>
      <c r="S176" s="319">
        <f t="shared" si="0"/>
      </c>
    </row>
    <row r="177" spans="2:19" ht="12.75">
      <c r="B177" s="18"/>
      <c r="C177" s="18"/>
      <c r="D177" s="29"/>
      <c r="E177" s="31">
        <f t="shared" si="1"/>
        <v>6</v>
      </c>
      <c r="F177" s="801"/>
      <c r="G177" s="818"/>
      <c r="H177" s="802"/>
      <c r="I177" s="801"/>
      <c r="J177" s="805"/>
      <c r="K177" s="801"/>
      <c r="L177" s="802"/>
      <c r="M177" s="812"/>
      <c r="N177" s="813"/>
      <c r="O177" s="18"/>
      <c r="P177" s="18"/>
      <c r="Q177" s="311"/>
      <c r="R177" s="319">
        <f>IF(NOT(ISBLANK(F177)),COUNTA($F$172:$F177),"")</f>
      </c>
      <c r="S177" s="319">
        <f t="shared" si="0"/>
      </c>
    </row>
    <row r="178" spans="2:19" ht="12.75">
      <c r="B178" s="18"/>
      <c r="C178" s="18"/>
      <c r="D178" s="29"/>
      <c r="E178" s="31">
        <f t="shared" si="1"/>
        <v>7</v>
      </c>
      <c r="F178" s="801"/>
      <c r="G178" s="818"/>
      <c r="H178" s="802"/>
      <c r="I178" s="801"/>
      <c r="J178" s="805"/>
      <c r="K178" s="801"/>
      <c r="L178" s="802"/>
      <c r="M178" s="812"/>
      <c r="N178" s="813"/>
      <c r="O178" s="18"/>
      <c r="P178" s="18"/>
      <c r="Q178" s="311"/>
      <c r="R178" s="319">
        <f>IF(NOT(ISBLANK(F178)),COUNTA($F$172:$F178),"")</f>
      </c>
      <c r="S178" s="319">
        <f t="shared" si="0"/>
      </c>
    </row>
    <row r="179" spans="2:19" ht="12.75">
      <c r="B179" s="18"/>
      <c r="C179" s="18"/>
      <c r="D179" s="29"/>
      <c r="E179" s="31">
        <f t="shared" si="1"/>
        <v>8</v>
      </c>
      <c r="F179" s="801"/>
      <c r="G179" s="818"/>
      <c r="H179" s="802"/>
      <c r="I179" s="801"/>
      <c r="J179" s="805"/>
      <c r="K179" s="801"/>
      <c r="L179" s="802"/>
      <c r="M179" s="812"/>
      <c r="N179" s="813"/>
      <c r="O179" s="18"/>
      <c r="P179" s="18"/>
      <c r="Q179" s="311"/>
      <c r="R179" s="319">
        <f>IF(NOT(ISBLANK(F179)),COUNTA($F$172:$F179),"")</f>
      </c>
      <c r="S179" s="319">
        <f t="shared" si="0"/>
      </c>
    </row>
    <row r="180" spans="2:19" ht="12.75">
      <c r="B180" s="18"/>
      <c r="C180" s="18"/>
      <c r="D180" s="29"/>
      <c r="E180" s="31">
        <f t="shared" si="1"/>
        <v>9</v>
      </c>
      <c r="F180" s="801"/>
      <c r="G180" s="818"/>
      <c r="H180" s="802"/>
      <c r="I180" s="801"/>
      <c r="J180" s="805"/>
      <c r="K180" s="801"/>
      <c r="L180" s="802"/>
      <c r="M180" s="812"/>
      <c r="N180" s="813"/>
      <c r="O180" s="18"/>
      <c r="P180" s="18"/>
      <c r="Q180" s="311"/>
      <c r="R180" s="319">
        <f>IF(NOT(ISBLANK(F180)),COUNTA($F$172:$F180),"")</f>
      </c>
      <c r="S180" s="319">
        <f t="shared" si="0"/>
      </c>
    </row>
    <row r="181" spans="2:19" ht="13.5" thickBot="1">
      <c r="B181" s="18"/>
      <c r="C181" s="18"/>
      <c r="D181" s="29"/>
      <c r="E181" s="32">
        <f t="shared" si="1"/>
        <v>10</v>
      </c>
      <c r="F181" s="824"/>
      <c r="G181" s="825"/>
      <c r="H181" s="826"/>
      <c r="I181" s="824"/>
      <c r="J181" s="834"/>
      <c r="K181" s="824"/>
      <c r="L181" s="826"/>
      <c r="M181" s="837"/>
      <c r="N181" s="838"/>
      <c r="O181" s="18"/>
      <c r="P181" s="18"/>
      <c r="Q181" s="311"/>
      <c r="R181" s="320">
        <f>IF(NOT(ISBLANK(F181)),COUNTA($F$172:$F181),"")</f>
      </c>
      <c r="S181" s="320">
        <f t="shared" si="0"/>
      </c>
    </row>
    <row r="182" spans="2:16" ht="12.75">
      <c r="B182" s="18"/>
      <c r="C182" s="18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18"/>
      <c r="P182" s="18"/>
    </row>
    <row r="183" spans="2:16" ht="12.75">
      <c r="B183" s="18"/>
      <c r="C183" s="18"/>
      <c r="D183" s="99" t="s">
        <v>243</v>
      </c>
      <c r="E183" s="689" t="str">
        <f>Translations!$B$422</f>
        <v>Моля въведете тук допълнителна информация относно тези свързани инсталации, ако това е необходимо:</v>
      </c>
      <c r="F183" s="688"/>
      <c r="G183" s="688"/>
      <c r="H183" s="688"/>
      <c r="I183" s="688"/>
      <c r="J183" s="688"/>
      <c r="K183" s="688"/>
      <c r="L183" s="688"/>
      <c r="M183" s="688"/>
      <c r="N183" s="688"/>
      <c r="O183" s="18"/>
      <c r="P183" s="18"/>
    </row>
    <row r="184" spans="2:16" ht="12.75">
      <c r="B184" s="18"/>
      <c r="C184" s="18"/>
      <c r="D184" s="15"/>
      <c r="E184" s="737" t="str">
        <f>Translations!$B$480</f>
        <v>Идентификацията на инсталацията е задължително, ако свързаната с нея инсталация попада в обхвата на СТЕ на ЕС.</v>
      </c>
      <c r="F184" s="688"/>
      <c r="G184" s="688"/>
      <c r="H184" s="688"/>
      <c r="I184" s="688"/>
      <c r="J184" s="688"/>
      <c r="K184" s="688"/>
      <c r="L184" s="688"/>
      <c r="M184" s="688"/>
      <c r="N184" s="688"/>
      <c r="O184" s="18"/>
      <c r="P184" s="18"/>
    </row>
    <row r="185" spans="2:16" ht="3.75" customHeight="1">
      <c r="B185" s="18"/>
      <c r="C185" s="18"/>
      <c r="D185" s="15"/>
      <c r="E185" s="737">
        <f>Translations!$B$423</f>
        <v>0</v>
      </c>
      <c r="F185" s="688"/>
      <c r="G185" s="688"/>
      <c r="H185" s="688"/>
      <c r="I185" s="688"/>
      <c r="J185" s="688"/>
      <c r="K185" s="688"/>
      <c r="L185" s="688"/>
      <c r="M185" s="688"/>
      <c r="N185" s="688"/>
      <c r="O185" s="18"/>
      <c r="P185" s="18"/>
    </row>
    <row r="186" spans="2:16" ht="27" customHeight="1">
      <c r="B186" s="18"/>
      <c r="C186" s="18"/>
      <c r="D186" s="15"/>
      <c r="E186" s="737" t="str">
        <f>Translations!$B$424</f>
        <v>За обекти, които не попадат в обхвата на Европейската схема за търговия с емисии посочването на данни за контакт, е задължително, но не се изисква идентификационният код в Независимия регистър на транзакциите в Общността (CITL) </v>
      </c>
      <c r="F186" s="688"/>
      <c r="G186" s="688"/>
      <c r="H186" s="688"/>
      <c r="I186" s="688"/>
      <c r="J186" s="688"/>
      <c r="K186" s="688"/>
      <c r="L186" s="688"/>
      <c r="M186" s="688"/>
      <c r="N186" s="688"/>
      <c r="O186" s="18"/>
      <c r="P186" s="18"/>
    </row>
    <row r="187" spans="2:16" ht="54.75" customHeight="1">
      <c r="B187" s="18"/>
      <c r="C187" s="18"/>
      <c r="D187" s="18"/>
      <c r="E187" s="205" t="str">
        <f>Translations!$B$401</f>
        <v>№</v>
      </c>
      <c r="F187" s="803" t="str">
        <f>Translations!$B$425</f>
        <v>Идентификационен код в Независимия регистър на трансакциите в Общността (CITL)</v>
      </c>
      <c r="G187" s="815"/>
      <c r="H187" s="803" t="str">
        <f>Translations!$B$426</f>
        <v>Име на лицето за контакти</v>
      </c>
      <c r="I187" s="815"/>
      <c r="J187" s="841" t="str">
        <f>Translations!$B$427</f>
        <v>електронна поща</v>
      </c>
      <c r="K187" s="804"/>
      <c r="L187" s="815"/>
      <c r="M187" s="803" t="str">
        <f>Translations!$B$428</f>
        <v>телефонен номер</v>
      </c>
      <c r="N187" s="842"/>
      <c r="O187" s="18"/>
      <c r="P187" s="18"/>
    </row>
    <row r="188" spans="2:16" ht="12.75">
      <c r="B188" s="18"/>
      <c r="C188" s="18"/>
      <c r="D188" s="18"/>
      <c r="E188" s="37">
        <v>1</v>
      </c>
      <c r="F188" s="839"/>
      <c r="G188" s="840"/>
      <c r="H188" s="835"/>
      <c r="I188" s="836"/>
      <c r="J188" s="835"/>
      <c r="K188" s="843"/>
      <c r="L188" s="836"/>
      <c r="M188" s="844"/>
      <c r="N188" s="845"/>
      <c r="O188" s="18"/>
      <c r="P188" s="18"/>
    </row>
    <row r="189" spans="2:16" ht="12.75">
      <c r="B189" s="18"/>
      <c r="C189" s="18"/>
      <c r="D189" s="18"/>
      <c r="E189" s="31">
        <f>E188+1</f>
        <v>2</v>
      </c>
      <c r="F189" s="819"/>
      <c r="G189" s="820"/>
      <c r="H189" s="821"/>
      <c r="I189" s="823"/>
      <c r="J189" s="821"/>
      <c r="K189" s="822"/>
      <c r="L189" s="823"/>
      <c r="M189" s="827"/>
      <c r="N189" s="828"/>
      <c r="O189" s="18"/>
      <c r="P189" s="18"/>
    </row>
    <row r="190" spans="2:16" ht="12.75">
      <c r="B190" s="18"/>
      <c r="C190" s="18"/>
      <c r="D190" s="18"/>
      <c r="E190" s="31">
        <f aca="true" t="shared" si="2" ref="E190:E197">E189+1</f>
        <v>3</v>
      </c>
      <c r="F190" s="819"/>
      <c r="G190" s="820"/>
      <c r="H190" s="821"/>
      <c r="I190" s="823"/>
      <c r="J190" s="821"/>
      <c r="K190" s="822"/>
      <c r="L190" s="823"/>
      <c r="M190" s="827"/>
      <c r="N190" s="828"/>
      <c r="O190" s="18"/>
      <c r="P190" s="18"/>
    </row>
    <row r="191" spans="2:16" ht="12.75">
      <c r="B191" s="18"/>
      <c r="C191" s="18"/>
      <c r="D191" s="18"/>
      <c r="E191" s="31">
        <f t="shared" si="2"/>
        <v>4</v>
      </c>
      <c r="F191" s="819"/>
      <c r="G191" s="820"/>
      <c r="H191" s="821"/>
      <c r="I191" s="823"/>
      <c r="J191" s="821"/>
      <c r="K191" s="822"/>
      <c r="L191" s="823"/>
      <c r="M191" s="827"/>
      <c r="N191" s="828"/>
      <c r="O191" s="18"/>
      <c r="P191" s="18"/>
    </row>
    <row r="192" spans="2:16" ht="12.75">
      <c r="B192" s="18"/>
      <c r="C192" s="18"/>
      <c r="D192" s="18"/>
      <c r="E192" s="31">
        <f t="shared" si="2"/>
        <v>5</v>
      </c>
      <c r="F192" s="819"/>
      <c r="G192" s="820"/>
      <c r="H192" s="821"/>
      <c r="I192" s="823"/>
      <c r="J192" s="821"/>
      <c r="K192" s="822"/>
      <c r="L192" s="823"/>
      <c r="M192" s="827"/>
      <c r="N192" s="828"/>
      <c r="O192" s="18"/>
      <c r="P192" s="18"/>
    </row>
    <row r="193" spans="2:16" ht="12.75">
      <c r="B193" s="18"/>
      <c r="C193" s="18"/>
      <c r="D193" s="18"/>
      <c r="E193" s="31">
        <f t="shared" si="2"/>
        <v>6</v>
      </c>
      <c r="F193" s="819"/>
      <c r="G193" s="820"/>
      <c r="H193" s="821"/>
      <c r="I193" s="823"/>
      <c r="J193" s="821"/>
      <c r="K193" s="822"/>
      <c r="L193" s="823"/>
      <c r="M193" s="827"/>
      <c r="N193" s="828"/>
      <c r="O193" s="18"/>
      <c r="P193" s="18"/>
    </row>
    <row r="194" spans="2:16" ht="12.75">
      <c r="B194" s="18"/>
      <c r="C194" s="18"/>
      <c r="D194" s="18"/>
      <c r="E194" s="31">
        <f t="shared" si="2"/>
        <v>7</v>
      </c>
      <c r="F194" s="819"/>
      <c r="G194" s="820"/>
      <c r="H194" s="821"/>
      <c r="I194" s="823"/>
      <c r="J194" s="821"/>
      <c r="K194" s="822"/>
      <c r="L194" s="823"/>
      <c r="M194" s="827"/>
      <c r="N194" s="828"/>
      <c r="O194" s="18"/>
      <c r="P194" s="18"/>
    </row>
    <row r="195" spans="2:16" ht="12.75">
      <c r="B195" s="18"/>
      <c r="C195" s="18"/>
      <c r="D195" s="18"/>
      <c r="E195" s="31">
        <f t="shared" si="2"/>
        <v>8</v>
      </c>
      <c r="F195" s="819"/>
      <c r="G195" s="820"/>
      <c r="H195" s="821"/>
      <c r="I195" s="823"/>
      <c r="J195" s="821"/>
      <c r="K195" s="822"/>
      <c r="L195" s="823"/>
      <c r="M195" s="827"/>
      <c r="N195" s="828"/>
      <c r="O195" s="18"/>
      <c r="P195" s="18"/>
    </row>
    <row r="196" spans="2:16" ht="12.75">
      <c r="B196" s="18"/>
      <c r="C196" s="18"/>
      <c r="D196" s="18"/>
      <c r="E196" s="31">
        <f t="shared" si="2"/>
        <v>9</v>
      </c>
      <c r="F196" s="819"/>
      <c r="G196" s="820"/>
      <c r="H196" s="821"/>
      <c r="I196" s="823"/>
      <c r="J196" s="821"/>
      <c r="K196" s="822"/>
      <c r="L196" s="823"/>
      <c r="M196" s="827"/>
      <c r="N196" s="828"/>
      <c r="O196" s="18"/>
      <c r="P196" s="18"/>
    </row>
    <row r="197" spans="2:16" ht="12.75">
      <c r="B197" s="18"/>
      <c r="C197" s="18"/>
      <c r="D197" s="18"/>
      <c r="E197" s="32">
        <f t="shared" si="2"/>
        <v>10</v>
      </c>
      <c r="F197" s="816"/>
      <c r="G197" s="817"/>
      <c r="H197" s="829"/>
      <c r="I197" s="830"/>
      <c r="J197" s="829"/>
      <c r="K197" s="833"/>
      <c r="L197" s="830"/>
      <c r="M197" s="831"/>
      <c r="N197" s="832"/>
      <c r="O197" s="18"/>
      <c r="P197" s="18"/>
    </row>
    <row r="198" spans="2:16" ht="38.25" customHeight="1">
      <c r="B198" s="18"/>
      <c r="C198" s="18"/>
      <c r="D198" s="18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18"/>
      <c r="P198" s="18"/>
    </row>
    <row r="199" spans="1:26" s="485" customFormat="1" ht="18" customHeight="1">
      <c r="A199" s="4"/>
      <c r="B199" s="208"/>
      <c r="C199" s="281" t="s">
        <v>211</v>
      </c>
      <c r="D199" s="297" t="str">
        <f>Translations!$B$546</f>
        <v>Идентификация на всички разглеждани инсталации</v>
      </c>
      <c r="E199" s="297"/>
      <c r="F199" s="297"/>
      <c r="G199" s="297"/>
      <c r="H199" s="297"/>
      <c r="I199" s="297"/>
      <c r="J199" s="297"/>
      <c r="K199" s="297"/>
      <c r="L199" s="297"/>
      <c r="M199" s="297"/>
      <c r="N199" s="297"/>
      <c r="O199" s="209"/>
      <c r="P199" s="209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</row>
    <row r="200" spans="2:17" ht="12.7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9"/>
      <c r="N200" s="9"/>
      <c r="O200" s="9"/>
      <c r="P200" s="9"/>
      <c r="Q200" s="305"/>
    </row>
    <row r="201" spans="2:17" ht="12.75" customHeight="1">
      <c r="B201" s="5"/>
      <c r="C201" s="5"/>
      <c r="D201" s="738" t="str">
        <f>Translations!$B$568</f>
        <v>Моля въведете тук информация за всички инсталации, участващи в сливането, разделянето или прехвърлянето на части от инсталации.</v>
      </c>
      <c r="E201" s="738"/>
      <c r="F201" s="738"/>
      <c r="G201" s="738"/>
      <c r="H201" s="738"/>
      <c r="I201" s="738"/>
      <c r="J201" s="738"/>
      <c r="K201" s="738"/>
      <c r="L201" s="738"/>
      <c r="M201" s="738"/>
      <c r="N201" s="738"/>
      <c r="O201" s="9"/>
      <c r="P201" s="9"/>
      <c r="Q201" s="305"/>
    </row>
    <row r="202" spans="2:17" ht="12.75" customHeight="1">
      <c r="B202" s="5"/>
      <c r="C202" s="5"/>
      <c r="D202" s="742" t="str">
        <f>Translations!$B$569</f>
        <v>Инсталации 1и 2 трябва да бъдат описани в ситуацията, както са били  ПРЕДИ сливането, разделянето или прехвърлянето на части от инсталации.</v>
      </c>
      <c r="E202" s="742"/>
      <c r="F202" s="742"/>
      <c r="G202" s="742"/>
      <c r="H202" s="742"/>
      <c r="I202" s="742"/>
      <c r="J202" s="742"/>
      <c r="K202" s="742"/>
      <c r="L202" s="742"/>
      <c r="M202" s="742"/>
      <c r="N202" s="742"/>
      <c r="O202" s="9"/>
      <c r="P202" s="9"/>
      <c r="Q202" s="305"/>
    </row>
    <row r="203" spans="2:17" ht="25.5" customHeight="1">
      <c r="B203" s="5"/>
      <c r="C203" s="5"/>
      <c r="D203" s="742" t="str">
        <f>Translations!$B$570</f>
        <v>Инсталации 3 и 4  трябва да бъдат описани в ситуацията СЛЕД сливането, разделянето  или прехвърлянето на части от инсталации, като инсталация 3 е тази,за която се подава заявката.</v>
      </c>
      <c r="E203" s="742"/>
      <c r="F203" s="742"/>
      <c r="G203" s="742"/>
      <c r="H203" s="742"/>
      <c r="I203" s="742"/>
      <c r="J203" s="742"/>
      <c r="K203" s="742"/>
      <c r="L203" s="742"/>
      <c r="M203" s="742"/>
      <c r="N203" s="742"/>
      <c r="O203" s="9"/>
      <c r="P203" s="9"/>
      <c r="Q203" s="305"/>
    </row>
    <row r="204" spans="2:17" ht="12.75" customHeight="1">
      <c r="B204" s="5"/>
      <c r="C204" s="5"/>
      <c r="D204" s="738" t="str">
        <f>Translations!$B$571</f>
        <v>Забележка: често има само една инсталация преди или след промяната. В тези случаи не е необходимо да се попълват всички следващи раздели:</v>
      </c>
      <c r="E204" s="738"/>
      <c r="F204" s="738"/>
      <c r="G204" s="738"/>
      <c r="H204" s="738"/>
      <c r="I204" s="738"/>
      <c r="J204" s="738"/>
      <c r="K204" s="738"/>
      <c r="L204" s="738"/>
      <c r="M204" s="738"/>
      <c r="N204" s="738"/>
      <c r="O204" s="9"/>
      <c r="P204" s="9"/>
      <c r="Q204" s="305"/>
    </row>
    <row r="205" spans="2:17" ht="12.75" customHeight="1">
      <c r="B205" s="5"/>
      <c r="C205" s="5"/>
      <c r="D205" s="191" t="s">
        <v>285</v>
      </c>
      <c r="E205" s="742" t="str">
        <f>Translations!$B$572</f>
        <v>в случай на сливане най-често има две инсталации ПРЕДИ промяната и само една инсталация СЛЕД промяната (съответните раздели са: 1, 2 и 3)</v>
      </c>
      <c r="F205" s="742"/>
      <c r="G205" s="742"/>
      <c r="H205" s="742"/>
      <c r="I205" s="742"/>
      <c r="J205" s="742"/>
      <c r="K205" s="742"/>
      <c r="L205" s="742"/>
      <c r="M205" s="742"/>
      <c r="N205" s="742"/>
      <c r="O205" s="9"/>
      <c r="P205" s="9"/>
      <c r="Q205" s="305"/>
    </row>
    <row r="206" spans="2:17" ht="12.75" customHeight="1">
      <c r="B206" s="5"/>
      <c r="C206" s="5"/>
      <c r="D206" s="191" t="s">
        <v>285</v>
      </c>
      <c r="E206" s="742" t="str">
        <f>Translations!$B$573</f>
        <v>в случай на разделяне най-често има една инсталация ПРЕДИ промяната и две инсталации СЛЕД промяната (съответните раздели са: 1, 3 и 4)</v>
      </c>
      <c r="F206" s="742"/>
      <c r="G206" s="742"/>
      <c r="H206" s="742"/>
      <c r="I206" s="742"/>
      <c r="J206" s="742"/>
      <c r="K206" s="742"/>
      <c r="L206" s="742"/>
      <c r="M206" s="742"/>
      <c r="N206" s="742"/>
      <c r="O206" s="9"/>
      <c r="P206" s="9"/>
      <c r="Q206" s="305"/>
    </row>
    <row r="207" spans="2:17" ht="12.75" customHeight="1">
      <c r="B207" s="5"/>
      <c r="C207" s="5"/>
      <c r="D207" s="191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9"/>
      <c r="P207" s="9"/>
      <c r="Q207" s="305"/>
    </row>
    <row r="208" spans="2:16" ht="15">
      <c r="B208" s="18"/>
      <c r="C208" s="16">
        <v>1</v>
      </c>
      <c r="D208" s="763" t="str">
        <f>Translations!$B$534&amp;" "&amp;C208</f>
        <v>Инсталация ПРЕДИ сливане, разделяне или прехвърляне 1</v>
      </c>
      <c r="E208" s="688"/>
      <c r="F208" s="688"/>
      <c r="G208" s="688"/>
      <c r="H208" s="688"/>
      <c r="I208" s="688"/>
      <c r="J208" s="688"/>
      <c r="K208" s="688"/>
      <c r="L208" s="688"/>
      <c r="M208" s="688"/>
      <c r="N208" s="688"/>
      <c r="O208" s="18"/>
      <c r="P208" s="18"/>
    </row>
    <row r="209" spans="2:17" ht="4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9"/>
      <c r="N209" s="9"/>
      <c r="O209" s="9"/>
      <c r="P209" s="18"/>
      <c r="Q209" s="305"/>
    </row>
    <row r="210" spans="2:17" ht="27" customHeight="1">
      <c r="B210" s="5"/>
      <c r="C210" s="5"/>
      <c r="D210" s="99" t="s">
        <v>452</v>
      </c>
      <c r="E210" s="689" t="str">
        <f>Translations!$B$574</f>
        <v>Дали инсталацията, за която се подава заявката, е със същата идентификация като инсталацията отпреди промяната?</v>
      </c>
      <c r="F210" s="688"/>
      <c r="G210" s="688"/>
      <c r="H210" s="688"/>
      <c r="I210" s="764"/>
      <c r="J210" s="290"/>
      <c r="K210" s="5"/>
      <c r="L210" s="5"/>
      <c r="M210" s="9"/>
      <c r="N210" s="9"/>
      <c r="O210" s="9"/>
      <c r="P210" s="18"/>
      <c r="Q210" s="305"/>
    </row>
    <row r="211" spans="2:17" ht="23.25" customHeight="1">
      <c r="B211" s="5"/>
      <c r="C211" s="5"/>
      <c r="D211" s="5"/>
      <c r="E211" s="742" t="str">
        <f>Translations!$B$575</f>
        <v>Моля да въведете тук „ДА“ ако идентификаторът и съответните данни на инсталацията (в раздел IIпо-горе) ОТ ПРЕДИ сливането, разделянето или прехвърлянето са същите като СЛЕД тази промяна.</v>
      </c>
      <c r="F211" s="742"/>
      <c r="G211" s="742"/>
      <c r="H211" s="742"/>
      <c r="I211" s="742"/>
      <c r="J211" s="742"/>
      <c r="K211" s="742"/>
      <c r="L211" s="742"/>
      <c r="M211" s="742"/>
      <c r="N211" s="742"/>
      <c r="O211" s="9"/>
      <c r="P211" s="18"/>
      <c r="Q211" s="305"/>
    </row>
    <row r="212" spans="2:17" ht="25.5" customHeight="1">
      <c r="B212" s="5"/>
      <c r="C212" s="5"/>
      <c r="D212" s="5"/>
      <c r="E212" s="742" t="str">
        <f>Translations!$B$576</f>
        <v>Ако въведете тук „НЕ“, това показва, че идентификацията на инсталацията или съответните данни са различни. В такъв случай наименованието на инсталация 1 ПРЕДИ сливането, разделянето или прехвърлянето трябва да бъде въведено ръчно в точка ii. по-долу.</v>
      </c>
      <c r="F212" s="742"/>
      <c r="G212" s="742"/>
      <c r="H212" s="742"/>
      <c r="I212" s="742"/>
      <c r="J212" s="742"/>
      <c r="K212" s="742"/>
      <c r="L212" s="742"/>
      <c r="M212" s="742"/>
      <c r="N212" s="742"/>
      <c r="O212" s="9"/>
      <c r="P212" s="18"/>
      <c r="Q212" s="305"/>
    </row>
    <row r="213" spans="2:17" ht="4.5" customHeight="1">
      <c r="B213" s="5"/>
      <c r="C213" s="5"/>
      <c r="D213" s="5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9"/>
      <c r="P213" s="18"/>
      <c r="Q213" s="305"/>
    </row>
    <row r="214" spans="2:26" ht="12.75" customHeight="1">
      <c r="B214" s="5"/>
      <c r="C214" s="5"/>
      <c r="D214" s="5"/>
      <c r="E214" s="287" t="s">
        <v>417</v>
      </c>
      <c r="F214" s="770" t="str">
        <f>Translations!$B$577</f>
        <v>Наименование на инсталацията (от раздел II.1.a)</v>
      </c>
      <c r="G214" s="770"/>
      <c r="H214" s="770"/>
      <c r="I214" s="771"/>
      <c r="J214" s="772">
        <f>IF(J210,IF(ISBLANK(J48),"",J48),"")</f>
      </c>
      <c r="K214" s="773"/>
      <c r="L214" s="773"/>
      <c r="M214" s="773"/>
      <c r="N214" s="774"/>
      <c r="O214" s="9"/>
      <c r="P214" s="18"/>
      <c r="Q214" s="305"/>
      <c r="Z214" s="401" t="s">
        <v>543</v>
      </c>
    </row>
    <row r="215" spans="2:26" ht="26.25" customHeight="1">
      <c r="B215" s="5"/>
      <c r="C215" s="5"/>
      <c r="D215" s="5"/>
      <c r="E215" s="287" t="s">
        <v>418</v>
      </c>
      <c r="F215" s="768" t="str">
        <f>Translations!$B$578</f>
        <v>Ръчно въведено изменение (ако наименованието е различно от това в точка i.)</v>
      </c>
      <c r="G215" s="768"/>
      <c r="H215" s="768"/>
      <c r="I215" s="769"/>
      <c r="J215" s="873"/>
      <c r="K215" s="874"/>
      <c r="L215" s="874"/>
      <c r="M215" s="874"/>
      <c r="N215" s="875"/>
      <c r="O215" s="9"/>
      <c r="P215" s="18"/>
      <c r="Q215" s="305"/>
      <c r="Z215" s="308">
        <f>IF(J210,1,IF(AND(J210&lt;&gt;"",J210=FALSE),2,""))</f>
      </c>
    </row>
    <row r="216" spans="2:17" ht="25.5" customHeight="1">
      <c r="B216" s="5"/>
      <c r="C216" s="5"/>
      <c r="D216" s="5"/>
      <c r="E216" s="287" t="s">
        <v>419</v>
      </c>
      <c r="F216" s="785" t="str">
        <f>Translations!$B$579</f>
        <v>Наименование на инсталацията, използвано при подаване на заявката</v>
      </c>
      <c r="G216" s="785"/>
      <c r="H216" s="785"/>
      <c r="I216" s="786"/>
      <c r="J216" s="782">
        <f>IF(J215="",J214,J215)</f>
      </c>
      <c r="K216" s="783"/>
      <c r="L216" s="783"/>
      <c r="M216" s="783"/>
      <c r="N216" s="784"/>
      <c r="O216" s="9"/>
      <c r="P216" s="18"/>
      <c r="Q216" s="305"/>
    </row>
    <row r="217" spans="2:17" ht="4.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9"/>
      <c r="N217" s="9"/>
      <c r="O217" s="9"/>
      <c r="P217" s="18"/>
      <c r="Q217" s="305"/>
    </row>
    <row r="218" spans="2:16" ht="30" customHeight="1">
      <c r="B218" s="18"/>
      <c r="C218" s="18"/>
      <c r="D218" s="14" t="s">
        <v>243</v>
      </c>
      <c r="E218" s="689" t="str">
        <f>Translations!$B$346</f>
        <v>Уникален идентификационен номер, даден от компетентния орган:</v>
      </c>
      <c r="F218" s="688"/>
      <c r="G218" s="688"/>
      <c r="H218" s="688"/>
      <c r="I218" s="735"/>
      <c r="J218" s="876"/>
      <c r="K218" s="876"/>
      <c r="L218" s="876"/>
      <c r="M218" s="876"/>
      <c r="N218" s="876"/>
      <c r="O218" s="18"/>
      <c r="P218" s="18"/>
    </row>
    <row r="219" spans="2:16" ht="25.5" customHeight="1">
      <c r="B219" s="18"/>
      <c r="C219" s="18"/>
      <c r="D219" s="18"/>
      <c r="E219" s="737" t="str">
        <f>Translations!$B$474</f>
        <v>Това обикновено е идентификационният код, използван във Втория национален план за разпределение на квоти за емисии (NAP II), ако това е приложимо, или националните мерки за изпълнение или  всякакъв друг идентификационен код, използван от компетентния орган при кореспонденция.</v>
      </c>
      <c r="F219" s="688"/>
      <c r="G219" s="688"/>
      <c r="H219" s="688"/>
      <c r="I219" s="688"/>
      <c r="J219" s="688"/>
      <c r="K219" s="688"/>
      <c r="L219" s="688"/>
      <c r="M219" s="688"/>
      <c r="N219" s="688"/>
      <c r="O219" s="18"/>
      <c r="P219" s="18"/>
    </row>
    <row r="220" spans="2:26" ht="29.25" customHeight="1">
      <c r="B220" s="5"/>
      <c r="C220" s="5"/>
      <c r="D220" s="5"/>
      <c r="E220" s="287" t="s">
        <v>417</v>
      </c>
      <c r="F220" s="770" t="str">
        <f>Translations!$B$580</f>
        <v>Автоматичен уникален идентификатор, даден от националните власти</v>
      </c>
      <c r="G220" s="770"/>
      <c r="H220" s="770"/>
      <c r="I220" s="771"/>
      <c r="J220" s="772">
        <f>IF(J210,IF(ISBLANK(J56),"",J56),"")</f>
      </c>
      <c r="K220" s="773"/>
      <c r="L220" s="773"/>
      <c r="M220" s="773"/>
      <c r="N220" s="774"/>
      <c r="O220" s="9"/>
      <c r="P220" s="18"/>
      <c r="Q220" s="305"/>
      <c r="Z220" s="401" t="s">
        <v>543</v>
      </c>
    </row>
    <row r="221" spans="2:26" ht="28.5" customHeight="1">
      <c r="B221" s="5"/>
      <c r="C221" s="5"/>
      <c r="D221" s="5"/>
      <c r="E221" s="287" t="s">
        <v>418</v>
      </c>
      <c r="F221" s="768" t="str">
        <f>Translations!$B$578</f>
        <v>Ръчно въведено изменение (ако наименованието е различно от това в точка i.)</v>
      </c>
      <c r="G221" s="768"/>
      <c r="H221" s="768"/>
      <c r="I221" s="769"/>
      <c r="J221" s="873"/>
      <c r="K221" s="874"/>
      <c r="L221" s="874"/>
      <c r="M221" s="874"/>
      <c r="N221" s="875"/>
      <c r="O221" s="9"/>
      <c r="P221" s="18"/>
      <c r="Q221" s="305"/>
      <c r="Z221" s="308">
        <f>Z215</f>
      </c>
    </row>
    <row r="222" spans="2:17" ht="26.25" customHeight="1">
      <c r="B222" s="5"/>
      <c r="C222" s="5"/>
      <c r="D222" s="5"/>
      <c r="E222" s="287" t="s">
        <v>419</v>
      </c>
      <c r="F222" s="785" t="str">
        <f>Translations!$B$581</f>
        <v>Уникален идентификатор, използван за нотифициране</v>
      </c>
      <c r="G222" s="785"/>
      <c r="H222" s="785"/>
      <c r="I222" s="786"/>
      <c r="J222" s="782">
        <f>IF(J221="",J220,J221)</f>
      </c>
      <c r="K222" s="783"/>
      <c r="L222" s="783"/>
      <c r="M222" s="783"/>
      <c r="N222" s="784"/>
      <c r="O222" s="9"/>
      <c r="P222" s="18"/>
      <c r="Q222" s="305"/>
    </row>
    <row r="223" spans="2:17" ht="4.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9"/>
      <c r="N223" s="9"/>
      <c r="O223" s="9"/>
      <c r="P223" s="18"/>
      <c r="Q223" s="305"/>
    </row>
    <row r="224" spans="2:26" ht="12.75">
      <c r="B224" s="18"/>
      <c r="C224" s="18"/>
      <c r="D224" s="14" t="s">
        <v>449</v>
      </c>
      <c r="E224" s="689" t="str">
        <f>Translations!$B$348</f>
        <v>Идентификационен код на инсталацията в регистъра:</v>
      </c>
      <c r="F224" s="688"/>
      <c r="G224" s="688"/>
      <c r="H224" s="688"/>
      <c r="I224" s="764"/>
      <c r="J224" s="778"/>
      <c r="K224" s="779"/>
      <c r="L224" s="779"/>
      <c r="M224" s="779"/>
      <c r="N224" s="780"/>
      <c r="O224" s="18"/>
      <c r="P224" s="18"/>
      <c r="Z224" s="409">
        <f>J210</f>
        <v>0</v>
      </c>
    </row>
    <row r="225" spans="2:16" ht="12.75">
      <c r="B225" s="18"/>
      <c r="C225" s="18"/>
      <c r="D225" s="14"/>
      <c r="E225" s="737" t="str">
        <f>Translations!$B$349</f>
        <v>Това обикновено е цяло положително число, т.е. представлява код, различен от номера на разрешителното в регистъра.</v>
      </c>
      <c r="F225" s="688"/>
      <c r="G225" s="688"/>
      <c r="H225" s="688"/>
      <c r="I225" s="688"/>
      <c r="J225" s="688"/>
      <c r="K225" s="688"/>
      <c r="L225" s="688"/>
      <c r="M225" s="688"/>
      <c r="N225" s="688"/>
      <c r="O225" s="18"/>
      <c r="P225" s="18"/>
    </row>
    <row r="226" spans="2:16" ht="12.75">
      <c r="B226" s="18"/>
      <c r="C226" s="18"/>
      <c r="D226" s="14"/>
      <c r="E226" s="737" t="str">
        <f>Translations!$B$617</f>
        <v>Ако въвеждате ръчно в точка ii. по-долу уникален идентификатор за използване в регистъра, неговият формат трябва да е напр.  „BG000000000012345“</v>
      </c>
      <c r="F226" s="688"/>
      <c r="G226" s="688"/>
      <c r="H226" s="688"/>
      <c r="I226" s="688"/>
      <c r="J226" s="688"/>
      <c r="K226" s="688"/>
      <c r="L226" s="688"/>
      <c r="M226" s="688"/>
      <c r="N226" s="688"/>
      <c r="O226" s="18"/>
      <c r="P226" s="18"/>
    </row>
    <row r="227" spans="2:17" ht="4.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9"/>
      <c r="N227" s="9"/>
      <c r="O227" s="9"/>
      <c r="P227" s="18"/>
      <c r="Q227" s="305"/>
    </row>
    <row r="228" spans="2:16" ht="12.75" customHeight="1">
      <c r="B228" s="18"/>
      <c r="C228" s="18"/>
      <c r="D228" s="14"/>
      <c r="E228" s="287" t="s">
        <v>417</v>
      </c>
      <c r="F228" s="770" t="str">
        <f>Translations!$B$582</f>
        <v>Автоматичен регистров уникален идентификатор</v>
      </c>
      <c r="G228" s="770"/>
      <c r="H228" s="770"/>
      <c r="I228" s="771"/>
      <c r="J228" s="772">
        <f>IF(J210,IF(ISBLANK(CNTR_UniqueID),"",CNTR_UniqueID),IF(AND($J$51&lt;&gt;"",J224&lt;&gt;""),CONCATENATE(INDEX(EUconst_MSlistISOcodes,MATCH($J$51,EUconst_MSlist,0)),TEXT(J224,"000000000000000")),""))</f>
      </c>
      <c r="K228" s="773"/>
      <c r="L228" s="773"/>
      <c r="M228" s="773"/>
      <c r="N228" s="774"/>
      <c r="O228" s="18"/>
      <c r="P228" s="215"/>
    </row>
    <row r="229" spans="2:26" ht="12.75" customHeight="1">
      <c r="B229" s="18"/>
      <c r="C229" s="18"/>
      <c r="D229" s="18"/>
      <c r="E229" s="287" t="s">
        <v>418</v>
      </c>
      <c r="F229" s="768" t="str">
        <f>Translations!$B$583</f>
        <v>Ръчно въвеждане на уникален идентификатор</v>
      </c>
      <c r="G229" s="768"/>
      <c r="H229" s="768"/>
      <c r="I229" s="769"/>
      <c r="J229" s="775"/>
      <c r="K229" s="776"/>
      <c r="L229" s="776"/>
      <c r="M229" s="776"/>
      <c r="N229" s="777"/>
      <c r="O229" s="18"/>
      <c r="P229" s="18"/>
      <c r="Z229" s="409">
        <f>Z224</f>
        <v>0</v>
      </c>
    </row>
    <row r="230" spans="2:19" ht="27.75" customHeight="1">
      <c r="B230" s="18"/>
      <c r="C230" s="18"/>
      <c r="D230" s="18"/>
      <c r="E230" s="287" t="s">
        <v>419</v>
      </c>
      <c r="F230" s="785" t="str">
        <f>Translations!$B$584</f>
        <v>Уникален идентификатор, използван за нотифициране</v>
      </c>
      <c r="G230" s="785"/>
      <c r="H230" s="785"/>
      <c r="I230" s="786"/>
      <c r="J230" s="782">
        <f>IF(J229="",J228,J229)</f>
      </c>
      <c r="K230" s="783"/>
      <c r="L230" s="783"/>
      <c r="M230" s="783"/>
      <c r="N230" s="784"/>
      <c r="O230" s="18"/>
      <c r="P230" s="18"/>
      <c r="R230" s="308">
        <f>C208</f>
        <v>1</v>
      </c>
      <c r="S230" s="309">
        <f>J216</f>
      </c>
    </row>
    <row r="231" spans="2:16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2:16" ht="15" customHeight="1">
      <c r="B232" s="18"/>
      <c r="C232" s="16">
        <v>2</v>
      </c>
      <c r="D232" s="763" t="str">
        <f>Translations!$B$534&amp;" "&amp;C232</f>
        <v>Инсталация ПРЕДИ сливане, разделяне или прехвърляне 2</v>
      </c>
      <c r="E232" s="688"/>
      <c r="F232" s="688"/>
      <c r="G232" s="688"/>
      <c r="H232" s="688"/>
      <c r="I232" s="688"/>
      <c r="J232" s="688"/>
      <c r="K232" s="688"/>
      <c r="L232" s="688"/>
      <c r="M232" s="688"/>
      <c r="N232" s="688"/>
      <c r="O232" s="18"/>
      <c r="P232" s="18"/>
    </row>
    <row r="233" spans="2:17" ht="12.75" customHeight="1">
      <c r="B233" s="5"/>
      <c r="C233" s="5"/>
      <c r="D233" s="738" t="str">
        <f>Translations!$B$585</f>
        <v>Ако се разглежда само една инсталация ПРЕДИ сливането, разделянето или прехвърлянето, този раздел се оставя празен.</v>
      </c>
      <c r="E233" s="738"/>
      <c r="F233" s="738"/>
      <c r="G233" s="738"/>
      <c r="H233" s="738"/>
      <c r="I233" s="738"/>
      <c r="J233" s="738"/>
      <c r="K233" s="738"/>
      <c r="L233" s="738"/>
      <c r="M233" s="738"/>
      <c r="N233" s="738"/>
      <c r="O233" s="9"/>
      <c r="P233" s="18"/>
      <c r="Q233" s="305"/>
    </row>
    <row r="234" spans="2:17" ht="4.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9"/>
      <c r="N234" s="9"/>
      <c r="O234" s="9"/>
      <c r="P234" s="18"/>
      <c r="Q234" s="305"/>
    </row>
    <row r="235" spans="2:26" ht="12.75">
      <c r="B235" s="18"/>
      <c r="C235" s="18"/>
      <c r="D235" s="99" t="s">
        <v>452</v>
      </c>
      <c r="E235" s="689" t="str">
        <f>Translations!$B$342</f>
        <v>Наименование на инсталацията:</v>
      </c>
      <c r="F235" s="688"/>
      <c r="G235" s="688"/>
      <c r="H235" s="688"/>
      <c r="I235" s="764"/>
      <c r="J235" s="765"/>
      <c r="K235" s="766"/>
      <c r="L235" s="766"/>
      <c r="M235" s="766"/>
      <c r="N235" s="767"/>
      <c r="O235" s="18"/>
      <c r="P235" s="18"/>
      <c r="Z235" s="409" t="b">
        <f>R15=2</f>
        <v>0</v>
      </c>
    </row>
    <row r="236" spans="2:17" ht="4.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9"/>
      <c r="N236" s="9"/>
      <c r="O236" s="9"/>
      <c r="P236" s="18"/>
      <c r="Q236" s="305"/>
    </row>
    <row r="237" spans="2:26" ht="25.5" customHeight="1">
      <c r="B237" s="18"/>
      <c r="C237" s="18"/>
      <c r="D237" s="14" t="s">
        <v>243</v>
      </c>
      <c r="E237" s="689" t="str">
        <f>Translations!$B$346</f>
        <v>Уникален идентификационен номер, даден от компетентния орган:</v>
      </c>
      <c r="F237" s="688"/>
      <c r="G237" s="688"/>
      <c r="H237" s="688"/>
      <c r="I237" s="764"/>
      <c r="J237" s="765"/>
      <c r="K237" s="766"/>
      <c r="L237" s="766"/>
      <c r="M237" s="766"/>
      <c r="N237" s="767"/>
      <c r="O237" s="18"/>
      <c r="P237" s="18"/>
      <c r="Z237" s="409" t="b">
        <f>Z235</f>
        <v>0</v>
      </c>
    </row>
    <row r="238" spans="2:16" ht="27" customHeight="1">
      <c r="B238" s="18"/>
      <c r="C238" s="18"/>
      <c r="D238" s="18"/>
      <c r="E238" s="737" t="str">
        <f>Translations!$B$474</f>
        <v>Това обикновено е идентификационният код, използван във Втория национален план за разпределение на квоти за емисии (NAP II), ако това е приложимо, или националните мерки за изпълнение или  всякакъв друг идентификационен код, използван от компетентния орган при кореспонденция.</v>
      </c>
      <c r="F238" s="688"/>
      <c r="G238" s="688"/>
      <c r="H238" s="688"/>
      <c r="I238" s="688"/>
      <c r="J238" s="688"/>
      <c r="K238" s="688"/>
      <c r="L238" s="688"/>
      <c r="M238" s="688"/>
      <c r="N238" s="688"/>
      <c r="O238" s="18"/>
      <c r="P238" s="18"/>
    </row>
    <row r="239" spans="2:17" ht="4.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9"/>
      <c r="N239" s="9"/>
      <c r="O239" s="9"/>
      <c r="P239" s="18"/>
      <c r="Q239" s="305"/>
    </row>
    <row r="240" spans="2:26" ht="12.75">
      <c r="B240" s="18"/>
      <c r="C240" s="18"/>
      <c r="D240" s="14" t="s">
        <v>449</v>
      </c>
      <c r="E240" s="689" t="str">
        <f>Translations!$B$348</f>
        <v>Идентификационен код на инсталацията в регистъра:</v>
      </c>
      <c r="F240" s="688"/>
      <c r="G240" s="688"/>
      <c r="H240" s="688"/>
      <c r="I240" s="764"/>
      <c r="J240" s="778"/>
      <c r="K240" s="779"/>
      <c r="L240" s="779"/>
      <c r="M240" s="779"/>
      <c r="N240" s="780"/>
      <c r="O240" s="18"/>
      <c r="P240" s="18"/>
      <c r="Z240" s="409" t="b">
        <f>Z237</f>
        <v>0</v>
      </c>
    </row>
    <row r="241" spans="2:16" ht="12.75">
      <c r="B241" s="18"/>
      <c r="C241" s="18"/>
      <c r="D241" s="14"/>
      <c r="E241" s="737" t="str">
        <f>Translations!$B$349</f>
        <v>Това обикновено е цяло положително число, т.е. представлява код, различен от номера на разрешителното в регистъра.</v>
      </c>
      <c r="F241" s="688"/>
      <c r="G241" s="688"/>
      <c r="H241" s="688"/>
      <c r="I241" s="688"/>
      <c r="J241" s="688"/>
      <c r="K241" s="688"/>
      <c r="L241" s="688"/>
      <c r="M241" s="688"/>
      <c r="N241" s="688"/>
      <c r="O241" s="18"/>
      <c r="P241" s="18"/>
    </row>
    <row r="242" spans="2:16" ht="12.75">
      <c r="B242" s="18"/>
      <c r="C242" s="18"/>
      <c r="D242" s="14"/>
      <c r="E242" s="737" t="str">
        <f>Translations!$B$617</f>
        <v>Ако въвеждате ръчно в точка ii. по-долу уникален идентификатор за използване в регистъра, неговият формат трябва да е напр.  „BG000000000012345“</v>
      </c>
      <c r="F242" s="688"/>
      <c r="G242" s="688"/>
      <c r="H242" s="688"/>
      <c r="I242" s="688"/>
      <c r="J242" s="688"/>
      <c r="K242" s="688"/>
      <c r="L242" s="688"/>
      <c r="M242" s="688"/>
      <c r="N242" s="688"/>
      <c r="O242" s="18"/>
      <c r="P242" s="18"/>
    </row>
    <row r="243" spans="2:17" ht="4.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9"/>
      <c r="N243" s="9"/>
      <c r="O243" s="9"/>
      <c r="P243" s="18"/>
      <c r="Q243" s="305"/>
    </row>
    <row r="244" spans="2:16" ht="12.75" customHeight="1">
      <c r="B244" s="18"/>
      <c r="C244" s="18"/>
      <c r="D244" s="14"/>
      <c r="E244" s="287" t="s">
        <v>417</v>
      </c>
      <c r="F244" s="770" t="str">
        <f>Translations!$B$586</f>
        <v>Автоматичен уникален идентификатор</v>
      </c>
      <c r="G244" s="770"/>
      <c r="H244" s="770"/>
      <c r="I244" s="771"/>
      <c r="J244" s="772">
        <f>IF(AND($J$51&lt;&gt;"",J240&lt;&gt;""),CONCATENATE(INDEX(EUconst_MSlistISOcodes,MATCH($J$51,EUconst_MSlist,0)),TEXT(J240,"000000000000000")),"")</f>
      </c>
      <c r="K244" s="773"/>
      <c r="L244" s="773"/>
      <c r="M244" s="773"/>
      <c r="N244" s="774"/>
      <c r="O244" s="18"/>
      <c r="P244" s="18"/>
    </row>
    <row r="245" spans="2:26" ht="26.25" customHeight="1">
      <c r="B245" s="18"/>
      <c r="C245" s="18"/>
      <c r="D245" s="18"/>
      <c r="E245" s="287" t="s">
        <v>418</v>
      </c>
      <c r="F245" s="768" t="str">
        <f>Translations!$B$587</f>
        <v>Ръчно изменение (ако данните в точка i. не са съответстващи)</v>
      </c>
      <c r="G245" s="768"/>
      <c r="H245" s="768"/>
      <c r="I245" s="769"/>
      <c r="J245" s="775"/>
      <c r="K245" s="776"/>
      <c r="L245" s="776"/>
      <c r="M245" s="776"/>
      <c r="N245" s="777"/>
      <c r="O245" s="18"/>
      <c r="P245" s="18"/>
      <c r="Z245" s="409" t="b">
        <f>Z240</f>
        <v>0</v>
      </c>
    </row>
    <row r="246" spans="2:19" ht="24.75" customHeight="1">
      <c r="B246" s="18"/>
      <c r="C246" s="18"/>
      <c r="D246" s="18"/>
      <c r="E246" s="287" t="s">
        <v>419</v>
      </c>
      <c r="F246" s="785" t="str">
        <f>Translations!$B$584</f>
        <v>Уникален идентификатор, използван за нотифициране</v>
      </c>
      <c r="G246" s="785"/>
      <c r="H246" s="785"/>
      <c r="I246" s="786"/>
      <c r="J246" s="782">
        <f>IF(CNTR_MergerORSplitORTransfer=2,J272,IF(J245="",J244,J245))</f>
      </c>
      <c r="K246" s="783"/>
      <c r="L246" s="783"/>
      <c r="M246" s="783"/>
      <c r="N246" s="784"/>
      <c r="O246" s="18"/>
      <c r="P246" s="18"/>
      <c r="R246" s="308">
        <f>C232</f>
        <v>2</v>
      </c>
      <c r="S246" s="457">
        <f>J235</f>
        <v>0</v>
      </c>
    </row>
    <row r="247" spans="2:26" ht="25.5" customHeight="1" thickBot="1">
      <c r="B247" s="5"/>
      <c r="C247" s="310"/>
      <c r="D247" s="310"/>
      <c r="E247" s="334"/>
      <c r="F247" s="334"/>
      <c r="G247" s="334"/>
      <c r="H247" s="334"/>
      <c r="I247" s="335"/>
      <c r="J247" s="338"/>
      <c r="K247" s="310"/>
      <c r="L247" s="310"/>
      <c r="M247" s="310"/>
      <c r="N247" s="310"/>
      <c r="O247" s="288"/>
      <c r="P247" s="18"/>
      <c r="Q247" s="402"/>
      <c r="R247" s="402"/>
      <c r="S247" s="402"/>
      <c r="T247" s="402"/>
      <c r="U247" s="402"/>
      <c r="V247" s="402"/>
      <c r="W247" s="402"/>
      <c r="X247" s="402"/>
      <c r="Y247" s="402"/>
      <c r="Z247" s="402"/>
    </row>
    <row r="248" spans="2:16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2:16" ht="15" customHeight="1">
      <c r="B249" s="18"/>
      <c r="C249" s="16">
        <v>3</v>
      </c>
      <c r="D249" s="763" t="str">
        <f>Translations!$B$535&amp;" "&amp;C249</f>
        <v>Инсталация СЛЕД сливане, разделяне или прехвърляне (подаваща настоящата заявка) 3</v>
      </c>
      <c r="E249" s="688"/>
      <c r="F249" s="688"/>
      <c r="G249" s="688"/>
      <c r="H249" s="688"/>
      <c r="I249" s="688"/>
      <c r="J249" s="688"/>
      <c r="K249" s="688"/>
      <c r="L249" s="688"/>
      <c r="M249" s="688"/>
      <c r="N249" s="688"/>
      <c r="O249" s="18"/>
      <c r="P249" s="18"/>
    </row>
    <row r="250" spans="2:17" ht="24" customHeight="1">
      <c r="B250" s="5"/>
      <c r="C250" s="5"/>
      <c r="D250" s="738" t="str">
        <f>Translations!$B$588</f>
        <v>Забележка:Това е инсталацията, за която се подава настоящата заявка. Следователно въведените тук данни са идентични на данните в раздел II по-горе.</v>
      </c>
      <c r="E250" s="738"/>
      <c r="F250" s="738"/>
      <c r="G250" s="738"/>
      <c r="H250" s="738"/>
      <c r="I250" s="738"/>
      <c r="J250" s="738"/>
      <c r="K250" s="738"/>
      <c r="L250" s="738"/>
      <c r="M250" s="738"/>
      <c r="N250" s="738"/>
      <c r="O250" s="9"/>
      <c r="P250" s="18"/>
      <c r="Q250" s="305"/>
    </row>
    <row r="251" spans="2:17" ht="4.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9"/>
      <c r="N251" s="9"/>
      <c r="O251" s="9"/>
      <c r="P251" s="18"/>
      <c r="Q251" s="305"/>
    </row>
    <row r="252" spans="2:16" ht="12.75" customHeight="1">
      <c r="B252" s="18"/>
      <c r="C252" s="18"/>
      <c r="D252" s="99" t="s">
        <v>452</v>
      </c>
      <c r="E252" s="689" t="str">
        <f>Translations!$B$342</f>
        <v>Наименование на инсталацията:</v>
      </c>
      <c r="F252" s="688"/>
      <c r="G252" s="688"/>
      <c r="H252" s="688"/>
      <c r="I252" s="764"/>
      <c r="J252" s="782">
        <f>IF(ISBLANK(J48),"",J48)</f>
      </c>
      <c r="K252" s="783"/>
      <c r="L252" s="783"/>
      <c r="M252" s="783"/>
      <c r="N252" s="784"/>
      <c r="O252" s="18"/>
      <c r="P252" s="18"/>
    </row>
    <row r="253" spans="2:17" ht="4.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9"/>
      <c r="N253" s="9"/>
      <c r="O253" s="9"/>
      <c r="P253" s="18"/>
      <c r="Q253" s="305"/>
    </row>
    <row r="254" spans="2:16" ht="24.75" customHeight="1">
      <c r="B254" s="18"/>
      <c r="C254" s="18"/>
      <c r="D254" s="14" t="s">
        <v>243</v>
      </c>
      <c r="E254" s="689" t="str">
        <f>Translations!$B$346</f>
        <v>Уникален идентификационен номер, даден от компетентния орган:</v>
      </c>
      <c r="F254" s="688"/>
      <c r="G254" s="688"/>
      <c r="H254" s="688"/>
      <c r="I254" s="764"/>
      <c r="J254" s="782">
        <f>IF(ISBLANK(J56),"",J56)</f>
      </c>
      <c r="K254" s="783"/>
      <c r="L254" s="783"/>
      <c r="M254" s="783"/>
      <c r="N254" s="784"/>
      <c r="O254" s="18"/>
      <c r="P254" s="18"/>
    </row>
    <row r="255" spans="2:17" ht="4.5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9"/>
      <c r="N255" s="9"/>
      <c r="O255" s="9"/>
      <c r="P255" s="18"/>
      <c r="Q255" s="305"/>
    </row>
    <row r="256" spans="2:19" ht="25.5" customHeight="1">
      <c r="B256" s="18"/>
      <c r="C256" s="18"/>
      <c r="D256" s="14" t="s">
        <v>449</v>
      </c>
      <c r="E256" s="689" t="str">
        <f>Translations!$B$350</f>
        <v>Предложете уникален идентификационен номер за целите на представяне на данните на Комисията:</v>
      </c>
      <c r="F256" s="688"/>
      <c r="G256" s="688"/>
      <c r="H256" s="688"/>
      <c r="I256" s="764"/>
      <c r="J256" s="781">
        <f>CNTR_UniqueID</f>
      </c>
      <c r="K256" s="781"/>
      <c r="L256" s="781"/>
      <c r="M256" s="781"/>
      <c r="N256" s="781"/>
      <c r="O256" s="18"/>
      <c r="P256" s="18"/>
      <c r="R256" s="308">
        <f>C249</f>
        <v>3</v>
      </c>
      <c r="S256" s="309">
        <f>J252</f>
      </c>
    </row>
    <row r="257" spans="2:16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2:16" ht="15" customHeight="1">
      <c r="B258" s="18"/>
      <c r="C258" s="16">
        <v>4</v>
      </c>
      <c r="D258" s="763" t="str">
        <f>Translations!$B$536&amp;" "&amp;C258</f>
        <v>Инсталация СЛЕД сливане, разделяне или прехвърляне 4</v>
      </c>
      <c r="E258" s="688"/>
      <c r="F258" s="688"/>
      <c r="G258" s="688"/>
      <c r="H258" s="688"/>
      <c r="I258" s="688"/>
      <c r="J258" s="688"/>
      <c r="K258" s="688"/>
      <c r="L258" s="688"/>
      <c r="M258" s="688"/>
      <c r="N258" s="688"/>
      <c r="O258" s="18"/>
      <c r="P258" s="18"/>
    </row>
    <row r="259" spans="2:17" ht="12.75" customHeight="1">
      <c r="B259" s="5"/>
      <c r="C259" s="5"/>
      <c r="D259" s="738" t="str">
        <f>Translations!$B$589</f>
        <v>Ако се разглежда само една инсталация СЛЕД сливането, разделянето или прехвърлянето, този раздел се оставя празен.</v>
      </c>
      <c r="E259" s="738"/>
      <c r="F259" s="738"/>
      <c r="G259" s="738"/>
      <c r="H259" s="738"/>
      <c r="I259" s="738"/>
      <c r="J259" s="738"/>
      <c r="K259" s="738"/>
      <c r="L259" s="738"/>
      <c r="M259" s="738"/>
      <c r="N259" s="738"/>
      <c r="O259" s="9"/>
      <c r="P259" s="18"/>
      <c r="Q259" s="305"/>
    </row>
    <row r="260" spans="2:17" ht="4.5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9"/>
      <c r="N260" s="9"/>
      <c r="O260" s="9"/>
      <c r="P260" s="18"/>
      <c r="Q260" s="305"/>
    </row>
    <row r="261" spans="2:26" ht="12.75">
      <c r="B261" s="18"/>
      <c r="C261" s="18"/>
      <c r="D261" s="99" t="s">
        <v>452</v>
      </c>
      <c r="E261" s="689" t="str">
        <f>Translations!$B$342</f>
        <v>Наименование на инсталацията:</v>
      </c>
      <c r="F261" s="688"/>
      <c r="G261" s="688"/>
      <c r="H261" s="688"/>
      <c r="I261" s="764"/>
      <c r="J261" s="765"/>
      <c r="K261" s="766"/>
      <c r="L261" s="766"/>
      <c r="M261" s="766"/>
      <c r="N261" s="767"/>
      <c r="O261" s="18"/>
      <c r="P261" s="18"/>
      <c r="Z261" s="409" t="b">
        <f>R15=1</f>
        <v>0</v>
      </c>
    </row>
    <row r="262" spans="2:17" ht="4.5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9"/>
      <c r="N262" s="9"/>
      <c r="O262" s="9"/>
      <c r="P262" s="18"/>
      <c r="Q262" s="305"/>
    </row>
    <row r="263" spans="2:26" ht="12.75">
      <c r="B263" s="18"/>
      <c r="C263" s="18"/>
      <c r="D263" s="14" t="s">
        <v>243</v>
      </c>
      <c r="E263" s="689" t="str">
        <f>Translations!$B$346</f>
        <v>Уникален идентификационен номер, даден от компетентния орган:</v>
      </c>
      <c r="F263" s="688"/>
      <c r="G263" s="688"/>
      <c r="H263" s="688"/>
      <c r="I263" s="764"/>
      <c r="J263" s="765"/>
      <c r="K263" s="766"/>
      <c r="L263" s="766"/>
      <c r="M263" s="766"/>
      <c r="N263" s="767"/>
      <c r="O263" s="18"/>
      <c r="P263" s="18"/>
      <c r="Z263" s="409" t="b">
        <f>Z261</f>
        <v>0</v>
      </c>
    </row>
    <row r="264" spans="2:16" ht="26.25" customHeight="1">
      <c r="B264" s="18"/>
      <c r="C264" s="18"/>
      <c r="D264" s="18"/>
      <c r="E264" s="737" t="str">
        <f>Translations!$B$474</f>
        <v>Това обикновено е идентификационният код, използван във Втория национален план за разпределение на квоти за емисии (NAP II), ако това е приложимо, или националните мерки за изпълнение или  всякакъв друг идентификационен код, използван от компетентния орган при кореспонденция.</v>
      </c>
      <c r="F264" s="688"/>
      <c r="G264" s="688"/>
      <c r="H264" s="688"/>
      <c r="I264" s="688"/>
      <c r="J264" s="688"/>
      <c r="K264" s="688"/>
      <c r="L264" s="688"/>
      <c r="M264" s="688"/>
      <c r="N264" s="688"/>
      <c r="O264" s="18"/>
      <c r="P264" s="18"/>
    </row>
    <row r="265" spans="2:17" ht="4.5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9"/>
      <c r="N265" s="9"/>
      <c r="O265" s="9"/>
      <c r="P265" s="18"/>
      <c r="Q265" s="305"/>
    </row>
    <row r="266" spans="2:26" ht="12.75">
      <c r="B266" s="18"/>
      <c r="C266" s="18"/>
      <c r="D266" s="14" t="s">
        <v>449</v>
      </c>
      <c r="E266" s="689" t="str">
        <f>Translations!$B$348</f>
        <v>Идентификационен код на инсталацията в регистъра:</v>
      </c>
      <c r="F266" s="688"/>
      <c r="G266" s="688"/>
      <c r="H266" s="688"/>
      <c r="I266" s="764"/>
      <c r="J266" s="778"/>
      <c r="K266" s="779"/>
      <c r="L266" s="779"/>
      <c r="M266" s="779"/>
      <c r="N266" s="780"/>
      <c r="O266" s="18"/>
      <c r="P266" s="18"/>
      <c r="Z266" s="409" t="b">
        <f>Z263</f>
        <v>0</v>
      </c>
    </row>
    <row r="267" spans="2:16" ht="12.75">
      <c r="B267" s="18"/>
      <c r="C267" s="18"/>
      <c r="D267" s="14"/>
      <c r="E267" s="737" t="str">
        <f>Translations!$B$349</f>
        <v>Това обикновено е цяло положително число, т.е. представлява код, различен от номера на разрешителното в регистъра.</v>
      </c>
      <c r="F267" s="688"/>
      <c r="G267" s="688"/>
      <c r="H267" s="688"/>
      <c r="I267" s="688"/>
      <c r="J267" s="688"/>
      <c r="K267" s="688"/>
      <c r="L267" s="688"/>
      <c r="M267" s="688"/>
      <c r="N267" s="688"/>
      <c r="O267" s="18"/>
      <c r="P267" s="18"/>
    </row>
    <row r="268" spans="2:16" ht="12.75">
      <c r="B268" s="18"/>
      <c r="C268" s="18"/>
      <c r="D268" s="14"/>
      <c r="E268" s="737" t="str">
        <f>Translations!$B$617</f>
        <v>Ако въвеждате ръчно в точка ii. по-долу уникален идентификатор за използване в регистъра, неговият формат трябва да е напр.  „BG000000000012345“</v>
      </c>
      <c r="F268" s="688"/>
      <c r="G268" s="688"/>
      <c r="H268" s="688"/>
      <c r="I268" s="688"/>
      <c r="J268" s="688"/>
      <c r="K268" s="688"/>
      <c r="L268" s="688"/>
      <c r="M268" s="688"/>
      <c r="N268" s="688"/>
      <c r="O268" s="18"/>
      <c r="P268" s="18"/>
    </row>
    <row r="269" spans="2:17" ht="4.5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9"/>
      <c r="N269" s="9"/>
      <c r="O269" s="9"/>
      <c r="P269" s="18"/>
      <c r="Q269" s="305"/>
    </row>
    <row r="270" spans="2:16" ht="12.75" customHeight="1">
      <c r="B270" s="18"/>
      <c r="C270" s="18"/>
      <c r="D270" s="14"/>
      <c r="E270" s="287" t="s">
        <v>417</v>
      </c>
      <c r="F270" s="770" t="str">
        <f>Translations!$B$586</f>
        <v>Автоматичен уникален идентификатор</v>
      </c>
      <c r="G270" s="770"/>
      <c r="H270" s="770"/>
      <c r="I270" s="771"/>
      <c r="J270" s="772">
        <f>IF(AND($J$51&lt;&gt;"",J266&lt;&gt;""),CONCATENATE(INDEX(EUconst_MSlistISOcodes,MATCH($J$51,EUconst_MSlist,0)),TEXT(J266,"000000000000000")),"")</f>
      </c>
      <c r="K270" s="773"/>
      <c r="L270" s="773"/>
      <c r="M270" s="773"/>
      <c r="N270" s="774"/>
      <c r="O270" s="18"/>
      <c r="P270" s="18"/>
    </row>
    <row r="271" spans="2:26" ht="27" customHeight="1">
      <c r="B271" s="18"/>
      <c r="C271" s="18"/>
      <c r="D271" s="18"/>
      <c r="E271" s="287" t="s">
        <v>418</v>
      </c>
      <c r="F271" s="768" t="str">
        <f>Translations!$B$587</f>
        <v>Ръчно изменение (ако данните в точка i. не са съответстващи)</v>
      </c>
      <c r="G271" s="768"/>
      <c r="H271" s="768"/>
      <c r="I271" s="769"/>
      <c r="J271" s="775"/>
      <c r="K271" s="776"/>
      <c r="L271" s="776"/>
      <c r="M271" s="776"/>
      <c r="N271" s="777"/>
      <c r="O271" s="18"/>
      <c r="P271" s="18"/>
      <c r="Z271" s="409" t="b">
        <f>Z266</f>
        <v>0</v>
      </c>
    </row>
    <row r="272" spans="2:19" ht="24" customHeight="1">
      <c r="B272" s="18"/>
      <c r="C272" s="18"/>
      <c r="D272" s="18"/>
      <c r="E272" s="287" t="s">
        <v>419</v>
      </c>
      <c r="F272" s="785" t="str">
        <f>Translations!$B$584</f>
        <v>Уникален идентификатор, използван за нотифициране</v>
      </c>
      <c r="G272" s="785"/>
      <c r="H272" s="785"/>
      <c r="I272" s="786"/>
      <c r="J272" s="782">
        <f>IF(CNTR_MergerORSplitORTransfer=1,J246,IF(J271="",J270,J271))</f>
      </c>
      <c r="K272" s="783"/>
      <c r="L272" s="783"/>
      <c r="M272" s="783"/>
      <c r="N272" s="784"/>
      <c r="O272" s="18"/>
      <c r="P272" s="18"/>
      <c r="R272" s="308">
        <f>C258</f>
        <v>4</v>
      </c>
      <c r="S272" s="457">
        <f>J261</f>
        <v>0</v>
      </c>
    </row>
    <row r="273" spans="2:16" ht="38.25" customHeight="1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2:18" ht="12.75" customHeight="1">
      <c r="B274" s="18"/>
      <c r="C274" s="18"/>
      <c r="D274" s="725" t="str">
        <f>HYPERLINK(R274,Translations!$B$335)</f>
        <v>&lt;&lt;&lt;Щракнете тук за да продължите към следващия работен лист (sheet)&gt;&gt;&gt;</v>
      </c>
      <c r="E274" s="726"/>
      <c r="F274" s="726"/>
      <c r="G274" s="726"/>
      <c r="H274" s="726"/>
      <c r="I274" s="726"/>
      <c r="J274" s="726"/>
      <c r="K274" s="726"/>
      <c r="L274" s="726"/>
      <c r="M274" s="726"/>
      <c r="N274" s="726"/>
      <c r="O274" s="18"/>
      <c r="P274" s="18"/>
      <c r="R274" s="412" t="str">
        <f>$W$2</f>
        <v>#B_InitialSituation!$C$6</v>
      </c>
    </row>
    <row r="275" spans="2:16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26" ht="12.75" hidden="1">
      <c r="A276" s="4" t="s">
        <v>474</v>
      </c>
      <c r="B276" s="4" t="s">
        <v>69</v>
      </c>
      <c r="C276" s="4" t="s">
        <v>69</v>
      </c>
      <c r="D276" s="4" t="s">
        <v>69</v>
      </c>
      <c r="E276" s="4" t="s">
        <v>69</v>
      </c>
      <c r="F276" s="4" t="s">
        <v>69</v>
      </c>
      <c r="G276" s="4"/>
      <c r="H276" s="4" t="s">
        <v>69</v>
      </c>
      <c r="I276" s="4" t="s">
        <v>69</v>
      </c>
      <c r="J276" s="4" t="s">
        <v>69</v>
      </c>
      <c r="K276" s="4" t="s">
        <v>69</v>
      </c>
      <c r="L276" s="4" t="s">
        <v>69</v>
      </c>
      <c r="M276" s="4" t="s">
        <v>69</v>
      </c>
      <c r="N276" s="4" t="s">
        <v>69</v>
      </c>
      <c r="O276" s="4" t="s">
        <v>69</v>
      </c>
      <c r="P276" s="4"/>
      <c r="Q276" s="299" t="s">
        <v>69</v>
      </c>
      <c r="R276" s="299" t="s">
        <v>69</v>
      </c>
      <c r="S276" s="299" t="s">
        <v>69</v>
      </c>
      <c r="T276" s="299" t="s">
        <v>69</v>
      </c>
      <c r="U276" s="299" t="s">
        <v>69</v>
      </c>
      <c r="V276" s="299" t="s">
        <v>69</v>
      </c>
      <c r="W276" s="299" t="s">
        <v>69</v>
      </c>
      <c r="X276" s="299" t="s">
        <v>69</v>
      </c>
      <c r="Z276" s="299" t="s">
        <v>69</v>
      </c>
    </row>
    <row r="277" spans="1:16" ht="12.75" hidden="1">
      <c r="A277" s="4" t="s">
        <v>474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3.5" hidden="1" thickBot="1">
      <c r="A278" s="4" t="s">
        <v>474</v>
      </c>
      <c r="B278" s="3"/>
      <c r="C278" s="3"/>
      <c r="D278" s="27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hidden="1">
      <c r="A279" s="4" t="s">
        <v>474</v>
      </c>
      <c r="B279" s="3"/>
      <c r="C279" s="3"/>
      <c r="D279" s="27"/>
      <c r="E279" s="81"/>
      <c r="F279" s="35"/>
      <c r="G279" s="35"/>
      <c r="H279" s="35"/>
      <c r="I279" s="35"/>
      <c r="J279" s="35"/>
      <c r="K279" s="35"/>
      <c r="L279" s="35"/>
      <c r="M279" s="35"/>
      <c r="N279" s="36"/>
      <c r="O279" s="3"/>
      <c r="P279" s="3"/>
    </row>
    <row r="280" spans="1:16" ht="13.5" hidden="1" thickBot="1">
      <c r="A280" s="4" t="s">
        <v>474</v>
      </c>
      <c r="B280" s="3"/>
      <c r="C280" s="3"/>
      <c r="D280" s="3"/>
      <c r="E280" s="322" t="s">
        <v>244</v>
      </c>
      <c r="F280" s="323"/>
      <c r="G280" s="323"/>
      <c r="H280" s="323"/>
      <c r="I280" s="324">
        <v>1</v>
      </c>
      <c r="J280" s="324">
        <v>2</v>
      </c>
      <c r="K280" s="324">
        <v>3</v>
      </c>
      <c r="L280" s="324">
        <v>4</v>
      </c>
      <c r="M280" s="324">
        <v>5</v>
      </c>
      <c r="N280" s="325">
        <v>6</v>
      </c>
      <c r="O280" s="3"/>
      <c r="P280" s="3"/>
    </row>
    <row r="281" spans="1:16" ht="13.5" hidden="1" thickBot="1">
      <c r="A281" s="4" t="s">
        <v>474</v>
      </c>
      <c r="B281" s="3"/>
      <c r="C281" s="3"/>
      <c r="D281" s="3"/>
      <c r="E281" s="3"/>
      <c r="F281" s="3"/>
      <c r="G281" s="3"/>
      <c r="H281" s="3"/>
      <c r="I281" s="27"/>
      <c r="J281" s="283"/>
      <c r="K281" s="283"/>
      <c r="L281" s="27"/>
      <c r="M281" s="27"/>
      <c r="N281" s="27"/>
      <c r="O281" s="3"/>
      <c r="P281" s="3"/>
    </row>
    <row r="282" spans="1:16" ht="13.5" hidden="1" thickBot="1">
      <c r="A282" s="4" t="s">
        <v>474</v>
      </c>
      <c r="B282" s="3"/>
      <c r="C282" s="3"/>
      <c r="D282" s="3"/>
      <c r="E282" s="27" t="s">
        <v>80</v>
      </c>
      <c r="F282" s="3"/>
      <c r="G282" s="204" t="b">
        <f>COUNTA(E13,L15,L18,M18,N18,N26,E32,E36)&gt;0</f>
        <v>0</v>
      </c>
      <c r="H282" s="3" t="s">
        <v>81</v>
      </c>
      <c r="I282" s="27"/>
      <c r="J282" s="283"/>
      <c r="K282" s="283"/>
      <c r="L282" s="27"/>
      <c r="M282" s="27"/>
      <c r="N282" s="27"/>
      <c r="O282" s="3"/>
      <c r="P282" s="3"/>
    </row>
    <row r="283" spans="1:16" ht="13.5" hidden="1" thickBot="1">
      <c r="A283" s="4" t="s">
        <v>474</v>
      </c>
      <c r="B283" s="3"/>
      <c r="C283" s="3"/>
      <c r="D283" s="3"/>
      <c r="E283" s="27" t="s">
        <v>542</v>
      </c>
      <c r="F283" s="3"/>
      <c r="G283" s="204" t="b">
        <f>(COUNTA(E13,L15,L18,M18,N18,N26,E32,E36)+COUNTA(J48,J51,J54,J56,J61,J69,J72,J73,J76,J77,J81,J82,J83,J84,J85,J86,J87,J88,J89,J92,J93,J94,J95,J101,J102,J103)+COUNTA(J104,J107,J108,J109,J110,F117,F118,F119,F120,F121,L131,L132,L144))&gt;0</f>
        <v>0</v>
      </c>
      <c r="H283" s="3" t="s">
        <v>81</v>
      </c>
      <c r="I283" s="27"/>
      <c r="J283" s="27"/>
      <c r="K283" s="27"/>
      <c r="L283" s="27"/>
      <c r="M283" s="27"/>
      <c r="N283" s="27"/>
      <c r="O283" s="3"/>
      <c r="P283" s="3"/>
    </row>
    <row r="284" spans="1:16" ht="12.75" hidden="1">
      <c r="A284" s="4" t="s">
        <v>474</v>
      </c>
      <c r="B284" s="3"/>
      <c r="C284" s="3"/>
      <c r="D284" s="3"/>
      <c r="E284" s="3"/>
      <c r="F284" s="3"/>
      <c r="G284" s="3"/>
      <c r="H284" s="3"/>
      <c r="I284" s="27"/>
      <c r="J284" s="27"/>
      <c r="K284" s="27"/>
      <c r="L284" s="27"/>
      <c r="M284" s="27"/>
      <c r="N284" s="27"/>
      <c r="O284" s="3"/>
      <c r="P284" s="3"/>
    </row>
    <row r="285" spans="1:16" ht="12.75" hidden="1">
      <c r="A285" s="4" t="s">
        <v>474</v>
      </c>
      <c r="B285" s="3"/>
      <c r="C285" s="3"/>
      <c r="D285" s="3"/>
      <c r="E285" s="3"/>
      <c r="F285" s="3"/>
      <c r="G285" s="3"/>
      <c r="H285" s="3"/>
      <c r="I285" s="27"/>
      <c r="J285" s="27"/>
      <c r="K285" s="27"/>
      <c r="L285" s="27"/>
      <c r="M285" s="27"/>
      <c r="N285" s="27"/>
      <c r="O285" s="3"/>
      <c r="P285" s="3"/>
    </row>
    <row r="286" spans="1:16" ht="12.75" hidden="1">
      <c r="A286" s="4" t="s">
        <v>474</v>
      </c>
      <c r="B286" s="3"/>
      <c r="C286" s="3"/>
      <c r="D286" s="3"/>
      <c r="E286" s="3" t="s">
        <v>143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hidden="1">
      <c r="A287" s="4" t="s">
        <v>474</v>
      </c>
      <c r="B287" s="3"/>
      <c r="C287" s="3"/>
      <c r="D287" s="3"/>
      <c r="E287" s="3" t="s">
        <v>144</v>
      </c>
      <c r="F287" s="3"/>
      <c r="G287" s="28"/>
      <c r="H287" s="3"/>
      <c r="I287" s="3"/>
      <c r="J287" s="192"/>
      <c r="K287" s="3"/>
      <c r="L287" s="3"/>
      <c r="M287" s="3"/>
      <c r="N287" s="3"/>
      <c r="O287" s="3"/>
      <c r="P287" s="3"/>
    </row>
    <row r="288" spans="1:16" ht="12.75" hidden="1">
      <c r="A288" s="4" t="s">
        <v>474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3.5" hidden="1" thickBot="1">
      <c r="A289" s="4" t="s">
        <v>474</v>
      </c>
      <c r="B289" s="3"/>
      <c r="C289" s="3"/>
      <c r="D289" s="3"/>
      <c r="E289" s="27" t="s">
        <v>467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hidden="1">
      <c r="A290" s="4" t="s">
        <v>474</v>
      </c>
      <c r="B290" s="3"/>
      <c r="C290" s="3"/>
      <c r="D290" s="3"/>
      <c r="E290" s="48"/>
      <c r="F290" s="46" t="s">
        <v>468</v>
      </c>
      <c r="G290" s="51" t="s">
        <v>469</v>
      </c>
      <c r="H290" s="46" t="s">
        <v>470</v>
      </c>
      <c r="I290" s="46"/>
      <c r="J290" s="219" t="s">
        <v>406</v>
      </c>
      <c r="K290" s="219" t="s">
        <v>421</v>
      </c>
      <c r="L290" s="54"/>
      <c r="M290" s="46"/>
      <c r="N290" s="47"/>
      <c r="O290" s="3"/>
      <c r="P290" s="3"/>
    </row>
    <row r="291" spans="1:16" ht="12.75" hidden="1">
      <c r="A291" s="4" t="s">
        <v>474</v>
      </c>
      <c r="B291" s="3"/>
      <c r="C291" s="3"/>
      <c r="D291" s="3"/>
      <c r="E291" s="58">
        <v>0</v>
      </c>
      <c r="F291" s="59"/>
      <c r="G291" s="60"/>
      <c r="H291" s="61" t="str">
        <f>EUconst_WithinInst</f>
        <v>В рамките на инсталацията</v>
      </c>
      <c r="I291" s="59"/>
      <c r="J291" s="21"/>
      <c r="K291" s="21"/>
      <c r="L291" s="57"/>
      <c r="M291" s="59"/>
      <c r="N291" s="62"/>
      <c r="O291" s="3"/>
      <c r="P291" s="3"/>
    </row>
    <row r="292" spans="1:16" ht="12.75" hidden="1">
      <c r="A292" s="4" t="s">
        <v>474</v>
      </c>
      <c r="B292" s="3"/>
      <c r="C292" s="3"/>
      <c r="D292" s="3"/>
      <c r="E292" s="49">
        <v>1</v>
      </c>
      <c r="F292" s="39" t="str">
        <f aca="true" t="shared" si="3" ref="F292:F301">IF(ISNUMBER(MATCH($E292,$R$172:$R$181,0)),MATCH($E292,$R$172:$R$181,0),EUconst_NA)</f>
        <v>Не е приложимо</v>
      </c>
      <c r="G292" s="52" t="str">
        <f aca="true" t="shared" si="4" ref="G292:G301">IF(AND(ISNUMBER($F292),NOT(ISBLANK(INDEX($K$172:$K$181,$F292)))),INDEX(EUconst_ConnectionShortTypes,MATCH(INDEX($K$172:$K$181,$F292),EUconst_ConnectionTypes,0)),EUconst_NA)</f>
        <v>Не е приложимо</v>
      </c>
      <c r="H292" s="40" t="str">
        <f aca="true" t="shared" si="5" ref="H292:H301">IF(NOT(ISNUMBER(F292)),EUconst_NA,CONCATENATE(INDEX($F$172:$F$181,$F292),": ",G292," ",IF(ISBLANK(INDEX($M$172:$M$181,$F292)),EUconst_NA,INDEX($M$172:$M$181,$F292))))</f>
        <v>Не е приложимо</v>
      </c>
      <c r="I292" s="3"/>
      <c r="J292" s="217">
        <f>IF(ISNUMBER($F292),IF(ISBLANK(INDEX($F$188:$F$197,$F292)),"",INDEX($F$188:$F$197,$F292)),"")</f>
      </c>
      <c r="K292" s="217">
        <f>IF(ISNUMBER($F292),IF(ISBLANK(INDEX($I$172:$I$181,$F292)),"",INDEX($I$172:$I$181,$F292)),"")</f>
      </c>
      <c r="L292" s="55"/>
      <c r="M292" s="3"/>
      <c r="N292" s="41"/>
      <c r="O292" s="3"/>
      <c r="P292" s="3"/>
    </row>
    <row r="293" spans="1:16" ht="12.75" hidden="1">
      <c r="A293" s="4" t="s">
        <v>474</v>
      </c>
      <c r="B293" s="3"/>
      <c r="C293" s="3"/>
      <c r="D293" s="3"/>
      <c r="E293" s="49">
        <f>E292+1</f>
        <v>2</v>
      </c>
      <c r="F293" s="39" t="str">
        <f t="shared" si="3"/>
        <v>Не е приложимо</v>
      </c>
      <c r="G293" s="52" t="str">
        <f t="shared" si="4"/>
        <v>Не е приложимо</v>
      </c>
      <c r="H293" s="40" t="str">
        <f t="shared" si="5"/>
        <v>Не е приложимо</v>
      </c>
      <c r="I293" s="3"/>
      <c r="J293" s="217">
        <f aca="true" t="shared" si="6" ref="J293:J301">IF(ISNUMBER($F293),IF(ISBLANK(INDEX($F$188:$F$197,$F293)),"",INDEX($F$188:$F$197,$F293)),"")</f>
      </c>
      <c r="K293" s="217">
        <f aca="true" t="shared" si="7" ref="K293:K301">IF(ISNUMBER($F293),IF(ISBLANK(INDEX($I$172:$I$181,$F293)),"",INDEX($I$172:$I$181,$F293)),"")</f>
      </c>
      <c r="L293" s="55"/>
      <c r="M293" s="3"/>
      <c r="N293" s="41"/>
      <c r="O293" s="3"/>
      <c r="P293" s="3"/>
    </row>
    <row r="294" spans="1:16" ht="12.75" hidden="1">
      <c r="A294" s="4" t="s">
        <v>474</v>
      </c>
      <c r="B294" s="3"/>
      <c r="C294" s="3"/>
      <c r="D294" s="3"/>
      <c r="E294" s="49">
        <f aca="true" t="shared" si="8" ref="E294:E301">E293+1</f>
        <v>3</v>
      </c>
      <c r="F294" s="39" t="str">
        <f t="shared" si="3"/>
        <v>Не е приложимо</v>
      </c>
      <c r="G294" s="52" t="str">
        <f t="shared" si="4"/>
        <v>Не е приложимо</v>
      </c>
      <c r="H294" s="40" t="str">
        <f t="shared" si="5"/>
        <v>Не е приложимо</v>
      </c>
      <c r="I294" s="3"/>
      <c r="J294" s="217">
        <f t="shared" si="6"/>
      </c>
      <c r="K294" s="217">
        <f t="shared" si="7"/>
      </c>
      <c r="L294" s="55"/>
      <c r="M294" s="3"/>
      <c r="N294" s="41"/>
      <c r="O294" s="3"/>
      <c r="P294" s="3"/>
    </row>
    <row r="295" spans="1:16" ht="12.75" hidden="1">
      <c r="A295" s="4" t="s">
        <v>474</v>
      </c>
      <c r="B295" s="3"/>
      <c r="C295" s="3"/>
      <c r="D295" s="3"/>
      <c r="E295" s="49">
        <f t="shared" si="8"/>
        <v>4</v>
      </c>
      <c r="F295" s="39" t="str">
        <f t="shared" si="3"/>
        <v>Не е приложимо</v>
      </c>
      <c r="G295" s="52" t="str">
        <f t="shared" si="4"/>
        <v>Не е приложимо</v>
      </c>
      <c r="H295" s="40" t="str">
        <f t="shared" si="5"/>
        <v>Не е приложимо</v>
      </c>
      <c r="I295" s="3"/>
      <c r="J295" s="217">
        <f t="shared" si="6"/>
      </c>
      <c r="K295" s="217">
        <f t="shared" si="7"/>
      </c>
      <c r="L295" s="55"/>
      <c r="M295" s="3"/>
      <c r="N295" s="41"/>
      <c r="O295" s="3"/>
      <c r="P295" s="3"/>
    </row>
    <row r="296" spans="1:16" ht="12.75" hidden="1">
      <c r="A296" s="4" t="s">
        <v>474</v>
      </c>
      <c r="B296" s="3"/>
      <c r="C296" s="3"/>
      <c r="D296" s="3"/>
      <c r="E296" s="49">
        <f t="shared" si="8"/>
        <v>5</v>
      </c>
      <c r="F296" s="39" t="str">
        <f t="shared" si="3"/>
        <v>Не е приложимо</v>
      </c>
      <c r="G296" s="52" t="str">
        <f t="shared" si="4"/>
        <v>Не е приложимо</v>
      </c>
      <c r="H296" s="40" t="str">
        <f t="shared" si="5"/>
        <v>Не е приложимо</v>
      </c>
      <c r="I296" s="3"/>
      <c r="J296" s="217">
        <f t="shared" si="6"/>
      </c>
      <c r="K296" s="217">
        <f t="shared" si="7"/>
      </c>
      <c r="L296" s="55"/>
      <c r="M296" s="3"/>
      <c r="N296" s="41"/>
      <c r="O296" s="3"/>
      <c r="P296" s="3"/>
    </row>
    <row r="297" spans="1:16" ht="12.75" hidden="1">
      <c r="A297" s="4" t="s">
        <v>474</v>
      </c>
      <c r="B297" s="3"/>
      <c r="C297" s="3"/>
      <c r="D297" s="3"/>
      <c r="E297" s="49">
        <f t="shared" si="8"/>
        <v>6</v>
      </c>
      <c r="F297" s="39" t="str">
        <f t="shared" si="3"/>
        <v>Не е приложимо</v>
      </c>
      <c r="G297" s="52" t="str">
        <f t="shared" si="4"/>
        <v>Не е приложимо</v>
      </c>
      <c r="H297" s="40" t="str">
        <f t="shared" si="5"/>
        <v>Не е приложимо</v>
      </c>
      <c r="I297" s="3"/>
      <c r="J297" s="217">
        <f t="shared" si="6"/>
      </c>
      <c r="K297" s="217">
        <f t="shared" si="7"/>
      </c>
      <c r="L297" s="55"/>
      <c r="M297" s="3"/>
      <c r="N297" s="41"/>
      <c r="O297" s="3"/>
      <c r="P297" s="3"/>
    </row>
    <row r="298" spans="1:16" ht="12.75" hidden="1">
      <c r="A298" s="4" t="s">
        <v>474</v>
      </c>
      <c r="B298" s="3"/>
      <c r="C298" s="3"/>
      <c r="D298" s="3"/>
      <c r="E298" s="49">
        <f t="shared" si="8"/>
        <v>7</v>
      </c>
      <c r="F298" s="39" t="str">
        <f t="shared" si="3"/>
        <v>Не е приложимо</v>
      </c>
      <c r="G298" s="52" t="str">
        <f t="shared" si="4"/>
        <v>Не е приложимо</v>
      </c>
      <c r="H298" s="40" t="str">
        <f t="shared" si="5"/>
        <v>Не е приложимо</v>
      </c>
      <c r="I298" s="3"/>
      <c r="J298" s="217">
        <f t="shared" si="6"/>
      </c>
      <c r="K298" s="217">
        <f t="shared" si="7"/>
      </c>
      <c r="L298" s="55"/>
      <c r="M298" s="3"/>
      <c r="N298" s="41"/>
      <c r="O298" s="3"/>
      <c r="P298" s="3"/>
    </row>
    <row r="299" spans="1:16" ht="12.75" hidden="1">
      <c r="A299" s="4" t="s">
        <v>474</v>
      </c>
      <c r="B299" s="3"/>
      <c r="C299" s="3"/>
      <c r="D299" s="3"/>
      <c r="E299" s="49">
        <f t="shared" si="8"/>
        <v>8</v>
      </c>
      <c r="F299" s="39" t="str">
        <f t="shared" si="3"/>
        <v>Не е приложимо</v>
      </c>
      <c r="G299" s="52" t="str">
        <f t="shared" si="4"/>
        <v>Не е приложимо</v>
      </c>
      <c r="H299" s="40" t="str">
        <f t="shared" si="5"/>
        <v>Не е приложимо</v>
      </c>
      <c r="I299" s="3"/>
      <c r="J299" s="217">
        <f t="shared" si="6"/>
      </c>
      <c r="K299" s="217">
        <f t="shared" si="7"/>
      </c>
      <c r="L299" s="55"/>
      <c r="M299" s="3"/>
      <c r="N299" s="41"/>
      <c r="O299" s="3"/>
      <c r="P299" s="3"/>
    </row>
    <row r="300" spans="1:16" ht="12.75" hidden="1">
      <c r="A300" s="4" t="s">
        <v>474</v>
      </c>
      <c r="B300" s="3"/>
      <c r="C300" s="3"/>
      <c r="D300" s="3"/>
      <c r="E300" s="49">
        <f t="shared" si="8"/>
        <v>9</v>
      </c>
      <c r="F300" s="39" t="str">
        <f t="shared" si="3"/>
        <v>Не е приложимо</v>
      </c>
      <c r="G300" s="52" t="str">
        <f t="shared" si="4"/>
        <v>Не е приложимо</v>
      </c>
      <c r="H300" s="40" t="str">
        <f t="shared" si="5"/>
        <v>Не е приложимо</v>
      </c>
      <c r="I300" s="3"/>
      <c r="J300" s="217">
        <f t="shared" si="6"/>
      </c>
      <c r="K300" s="217">
        <f t="shared" si="7"/>
      </c>
      <c r="L300" s="55"/>
      <c r="M300" s="3"/>
      <c r="N300" s="41"/>
      <c r="O300" s="3"/>
      <c r="P300" s="3"/>
    </row>
    <row r="301" spans="1:16" ht="13.5" hidden="1" thickBot="1">
      <c r="A301" s="4" t="s">
        <v>474</v>
      </c>
      <c r="B301" s="3"/>
      <c r="C301" s="3"/>
      <c r="D301" s="3"/>
      <c r="E301" s="50">
        <f t="shared" si="8"/>
        <v>10</v>
      </c>
      <c r="F301" s="42" t="str">
        <f t="shared" si="3"/>
        <v>Не е приложимо</v>
      </c>
      <c r="G301" s="53" t="str">
        <f t="shared" si="4"/>
        <v>Не е приложимо</v>
      </c>
      <c r="H301" s="43" t="str">
        <f t="shared" si="5"/>
        <v>Не е приложимо</v>
      </c>
      <c r="I301" s="44"/>
      <c r="J301" s="218">
        <f t="shared" si="6"/>
      </c>
      <c r="K301" s="218">
        <f t="shared" si="7"/>
      </c>
      <c r="L301" s="56"/>
      <c r="M301" s="44"/>
      <c r="N301" s="45"/>
      <c r="O301" s="3"/>
      <c r="P301" s="3"/>
    </row>
    <row r="302" spans="1:16" ht="12.75" hidden="1">
      <c r="A302" s="4" t="s">
        <v>474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hidden="1">
      <c r="A303" s="4" t="s">
        <v>474</v>
      </c>
      <c r="B303" s="3"/>
      <c r="C303" s="3"/>
      <c r="D303" s="3"/>
      <c r="E303" s="3" t="s">
        <v>145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hidden="1">
      <c r="A304" s="4" t="s">
        <v>474</v>
      </c>
      <c r="B304" s="3"/>
      <c r="C304" s="3"/>
      <c r="D304" s="3"/>
      <c r="E304" s="3" t="s">
        <v>146</v>
      </c>
      <c r="F304" s="3"/>
      <c r="G304" s="28" t="b">
        <f>COUNTA($F$172:$F$181)&gt;0</f>
        <v>0</v>
      </c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hidden="1">
      <c r="A305" s="4" t="s">
        <v>474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hidden="1">
      <c r="A306" s="4" t="s">
        <v>474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</sheetData>
  <sheetProtection sheet="1" objects="1" scenarios="1" formatCells="0" formatColumns="0" formatRows="0"/>
  <mergeCells count="356">
    <mergeCell ref="E264:N264"/>
    <mergeCell ref="E21:N21"/>
    <mergeCell ref="E22:N22"/>
    <mergeCell ref="E23:N23"/>
    <mergeCell ref="E241:N241"/>
    <mergeCell ref="E226:N226"/>
    <mergeCell ref="E212:N212"/>
    <mergeCell ref="J214:N214"/>
    <mergeCell ref="F171:H171"/>
    <mergeCell ref="E153:N153"/>
    <mergeCell ref="E151:N151"/>
    <mergeCell ref="J215:N215"/>
    <mergeCell ref="J216:N216"/>
    <mergeCell ref="F214:I214"/>
    <mergeCell ref="F215:I215"/>
    <mergeCell ref="F216:I216"/>
    <mergeCell ref="K171:L171"/>
    <mergeCell ref="F165:N165"/>
    <mergeCell ref="M193:N193"/>
    <mergeCell ref="M194:N194"/>
    <mergeCell ref="E225:N225"/>
    <mergeCell ref="E224:I224"/>
    <mergeCell ref="J224:N224"/>
    <mergeCell ref="E218:I218"/>
    <mergeCell ref="J218:N218"/>
    <mergeCell ref="E242:N242"/>
    <mergeCell ref="E219:N219"/>
    <mergeCell ref="E238:N238"/>
    <mergeCell ref="E267:N267"/>
    <mergeCell ref="E268:N268"/>
    <mergeCell ref="F220:I220"/>
    <mergeCell ref="J220:N220"/>
    <mergeCell ref="F221:I221"/>
    <mergeCell ref="J221:N221"/>
    <mergeCell ref="F222:I222"/>
    <mergeCell ref="J222:N222"/>
    <mergeCell ref="F230:I230"/>
    <mergeCell ref="F246:I246"/>
    <mergeCell ref="K3:L3"/>
    <mergeCell ref="G2:H2"/>
    <mergeCell ref="M4:N4"/>
    <mergeCell ref="M3:N3"/>
    <mergeCell ref="I3:J3"/>
    <mergeCell ref="M2:N2"/>
    <mergeCell ref="I2:J2"/>
    <mergeCell ref="E48:I48"/>
    <mergeCell ref="D44:N44"/>
    <mergeCell ref="E15:K15"/>
    <mergeCell ref="L15:N15"/>
    <mergeCell ref="J56:N56"/>
    <mergeCell ref="F162:N162"/>
    <mergeCell ref="G88:I88"/>
    <mergeCell ref="G85:I85"/>
    <mergeCell ref="E139:N139"/>
    <mergeCell ref="E150:N150"/>
    <mergeCell ref="E57:N57"/>
    <mergeCell ref="E58:N58"/>
    <mergeCell ref="E61:I61"/>
    <mergeCell ref="E59:N59"/>
    <mergeCell ref="I4:J4"/>
    <mergeCell ref="G4:H4"/>
    <mergeCell ref="E4:F4"/>
    <mergeCell ref="E56:I56"/>
    <mergeCell ref="E18:K18"/>
    <mergeCell ref="J51:N51"/>
    <mergeCell ref="B2:D4"/>
    <mergeCell ref="E3:F3"/>
    <mergeCell ref="E51:I51"/>
    <mergeCell ref="E52:N52"/>
    <mergeCell ref="K2:L2"/>
    <mergeCell ref="F121:N121"/>
    <mergeCell ref="G101:I101"/>
    <mergeCell ref="G93:I93"/>
    <mergeCell ref="E98:N98"/>
    <mergeCell ref="E100:N100"/>
    <mergeCell ref="F76:I76"/>
    <mergeCell ref="E66:N66"/>
    <mergeCell ref="E64:I64"/>
    <mergeCell ref="E62:N62"/>
    <mergeCell ref="F71:N71"/>
    <mergeCell ref="E68:N68"/>
    <mergeCell ref="F75:N75"/>
    <mergeCell ref="F72:I72"/>
    <mergeCell ref="F69:I69"/>
    <mergeCell ref="J69:N69"/>
    <mergeCell ref="J61:N61"/>
    <mergeCell ref="J48:N48"/>
    <mergeCell ref="D46:N46"/>
    <mergeCell ref="E49:N49"/>
    <mergeCell ref="E54:I54"/>
    <mergeCell ref="J84:N84"/>
    <mergeCell ref="G83:I83"/>
    <mergeCell ref="J64:N64"/>
    <mergeCell ref="J72:N72"/>
    <mergeCell ref="E67:N67"/>
    <mergeCell ref="J76:N76"/>
    <mergeCell ref="J73:N73"/>
    <mergeCell ref="F73:I73"/>
    <mergeCell ref="J95:N95"/>
    <mergeCell ref="G95:I95"/>
    <mergeCell ref="J77:N77"/>
    <mergeCell ref="E80:N80"/>
    <mergeCell ref="G81:I81"/>
    <mergeCell ref="G82:I82"/>
    <mergeCell ref="G87:I87"/>
    <mergeCell ref="F77:I77"/>
    <mergeCell ref="G84:I84"/>
    <mergeCell ref="J107:N107"/>
    <mergeCell ref="G109:I109"/>
    <mergeCell ref="G104:I104"/>
    <mergeCell ref="J92:N92"/>
    <mergeCell ref="G94:I94"/>
    <mergeCell ref="J93:N93"/>
    <mergeCell ref="J94:N94"/>
    <mergeCell ref="J85:N85"/>
    <mergeCell ref="F118:N118"/>
    <mergeCell ref="E79:N79"/>
    <mergeCell ref="J83:N83"/>
    <mergeCell ref="J81:N81"/>
    <mergeCell ref="J82:N82"/>
    <mergeCell ref="J103:N103"/>
    <mergeCell ref="G89:I89"/>
    <mergeCell ref="G92:I92"/>
    <mergeCell ref="J102:N102"/>
    <mergeCell ref="G102:I102"/>
    <mergeCell ref="F117:N117"/>
    <mergeCell ref="E115:N115"/>
    <mergeCell ref="E159:N159"/>
    <mergeCell ref="E163:N163"/>
    <mergeCell ref="F119:N119"/>
    <mergeCell ref="J110:N110"/>
    <mergeCell ref="E149:N149"/>
    <mergeCell ref="F155:N155"/>
    <mergeCell ref="F141:N141"/>
    <mergeCell ref="F143:N143"/>
    <mergeCell ref="J86:N86"/>
    <mergeCell ref="J88:N88"/>
    <mergeCell ref="E91:N91"/>
    <mergeCell ref="J109:N109"/>
    <mergeCell ref="J104:N104"/>
    <mergeCell ref="J89:N89"/>
    <mergeCell ref="G107:I107"/>
    <mergeCell ref="E184:N184"/>
    <mergeCell ref="M188:N188"/>
    <mergeCell ref="G103:I103"/>
    <mergeCell ref="E106:N106"/>
    <mergeCell ref="G108:I108"/>
    <mergeCell ref="F166:N166"/>
    <mergeCell ref="E125:N125"/>
    <mergeCell ref="F157:N157"/>
    <mergeCell ref="F160:N160"/>
    <mergeCell ref="E154:N154"/>
    <mergeCell ref="M189:N189"/>
    <mergeCell ref="J193:L193"/>
    <mergeCell ref="I173:J173"/>
    <mergeCell ref="J187:L187"/>
    <mergeCell ref="M187:N187"/>
    <mergeCell ref="K180:L180"/>
    <mergeCell ref="H191:I191"/>
    <mergeCell ref="J191:L191"/>
    <mergeCell ref="J188:L188"/>
    <mergeCell ref="J189:L189"/>
    <mergeCell ref="M191:N191"/>
    <mergeCell ref="M192:N192"/>
    <mergeCell ref="J192:L192"/>
    <mergeCell ref="F194:G194"/>
    <mergeCell ref="H194:I194"/>
    <mergeCell ref="J194:L194"/>
    <mergeCell ref="F191:G191"/>
    <mergeCell ref="F192:G192"/>
    <mergeCell ref="H188:I188"/>
    <mergeCell ref="F190:G190"/>
    <mergeCell ref="F173:H173"/>
    <mergeCell ref="M181:N181"/>
    <mergeCell ref="I178:J178"/>
    <mergeCell ref="I177:J177"/>
    <mergeCell ref="F178:H178"/>
    <mergeCell ref="H189:I189"/>
    <mergeCell ref="F188:G188"/>
    <mergeCell ref="F187:G187"/>
    <mergeCell ref="K178:L178"/>
    <mergeCell ref="M178:N178"/>
    <mergeCell ref="M175:N175"/>
    <mergeCell ref="K179:L179"/>
    <mergeCell ref="F179:H179"/>
    <mergeCell ref="I179:J179"/>
    <mergeCell ref="M176:N176"/>
    <mergeCell ref="M177:N177"/>
    <mergeCell ref="K177:L177"/>
    <mergeCell ref="F176:H176"/>
    <mergeCell ref="I181:J181"/>
    <mergeCell ref="E183:N183"/>
    <mergeCell ref="M180:N180"/>
    <mergeCell ref="M179:N179"/>
    <mergeCell ref="F180:H180"/>
    <mergeCell ref="K181:L181"/>
    <mergeCell ref="D259:N259"/>
    <mergeCell ref="M195:N195"/>
    <mergeCell ref="H196:I196"/>
    <mergeCell ref="M197:N197"/>
    <mergeCell ref="J197:L197"/>
    <mergeCell ref="E185:N185"/>
    <mergeCell ref="H187:I187"/>
    <mergeCell ref="E186:N186"/>
    <mergeCell ref="M190:N190"/>
    <mergeCell ref="J190:L190"/>
    <mergeCell ref="M196:N196"/>
    <mergeCell ref="D274:N274"/>
    <mergeCell ref="H192:I192"/>
    <mergeCell ref="H195:I195"/>
    <mergeCell ref="H197:I197"/>
    <mergeCell ref="D233:N233"/>
    <mergeCell ref="F193:G193"/>
    <mergeCell ref="J230:N230"/>
    <mergeCell ref="F228:I228"/>
    <mergeCell ref="E210:I210"/>
    <mergeCell ref="F174:H174"/>
    <mergeCell ref="I175:J175"/>
    <mergeCell ref="J195:L195"/>
    <mergeCell ref="J196:L196"/>
    <mergeCell ref="F196:G196"/>
    <mergeCell ref="H193:I193"/>
    <mergeCell ref="F189:G189"/>
    <mergeCell ref="I180:J180"/>
    <mergeCell ref="H190:I190"/>
    <mergeCell ref="F181:H181"/>
    <mergeCell ref="I172:J172"/>
    <mergeCell ref="I171:J171"/>
    <mergeCell ref="K174:L174"/>
    <mergeCell ref="F197:G197"/>
    <mergeCell ref="K176:L176"/>
    <mergeCell ref="K175:L175"/>
    <mergeCell ref="F175:H175"/>
    <mergeCell ref="F177:H177"/>
    <mergeCell ref="F195:G195"/>
    <mergeCell ref="I176:J176"/>
    <mergeCell ref="I174:J174"/>
    <mergeCell ref="F161:N161"/>
    <mergeCell ref="E167:N167"/>
    <mergeCell ref="F172:H172"/>
    <mergeCell ref="K172:L172"/>
    <mergeCell ref="F169:N169"/>
    <mergeCell ref="M172:N172"/>
    <mergeCell ref="F168:N168"/>
    <mergeCell ref="M174:N174"/>
    <mergeCell ref="M173:N173"/>
    <mergeCell ref="F158:N158"/>
    <mergeCell ref="F164:N164"/>
    <mergeCell ref="K173:L173"/>
    <mergeCell ref="M171:N171"/>
    <mergeCell ref="F156:N156"/>
    <mergeCell ref="E126:N126"/>
    <mergeCell ref="E136:N136"/>
    <mergeCell ref="E138:N138"/>
    <mergeCell ref="E144:K144"/>
    <mergeCell ref="E140:N140"/>
    <mergeCell ref="E134:K134"/>
    <mergeCell ref="F131:K131"/>
    <mergeCell ref="L134:N134"/>
    <mergeCell ref="E135:N135"/>
    <mergeCell ref="B97:B110"/>
    <mergeCell ref="B112:B137"/>
    <mergeCell ref="E127:N127"/>
    <mergeCell ref="J101:N101"/>
    <mergeCell ref="D97:N97"/>
    <mergeCell ref="E128:N128"/>
    <mergeCell ref="G110:I110"/>
    <mergeCell ref="D112:N112"/>
    <mergeCell ref="J108:N108"/>
    <mergeCell ref="E211:N211"/>
    <mergeCell ref="D208:N208"/>
    <mergeCell ref="E205:N205"/>
    <mergeCell ref="E206:N206"/>
    <mergeCell ref="E123:N123"/>
    <mergeCell ref="E130:N130"/>
    <mergeCell ref="F132:K132"/>
    <mergeCell ref="E152:N152"/>
    <mergeCell ref="F142:N142"/>
    <mergeCell ref="L144:M144"/>
    <mergeCell ref="J246:N246"/>
    <mergeCell ref="E34:N34"/>
    <mergeCell ref="J237:N237"/>
    <mergeCell ref="E240:I240"/>
    <mergeCell ref="J240:N240"/>
    <mergeCell ref="J228:N228"/>
    <mergeCell ref="J229:N229"/>
    <mergeCell ref="F271:I271"/>
    <mergeCell ref="J271:N271"/>
    <mergeCell ref="F272:I272"/>
    <mergeCell ref="J272:N272"/>
    <mergeCell ref="D258:N258"/>
    <mergeCell ref="E261:I261"/>
    <mergeCell ref="J261:N261"/>
    <mergeCell ref="E263:I263"/>
    <mergeCell ref="J263:N263"/>
    <mergeCell ref="F270:I270"/>
    <mergeCell ref="J270:N270"/>
    <mergeCell ref="J266:N266"/>
    <mergeCell ref="J256:N256"/>
    <mergeCell ref="E266:I266"/>
    <mergeCell ref="E256:I256"/>
    <mergeCell ref="D250:N250"/>
    <mergeCell ref="E254:I254"/>
    <mergeCell ref="J254:N254"/>
    <mergeCell ref="J252:N252"/>
    <mergeCell ref="E252:I252"/>
    <mergeCell ref="D249:N249"/>
    <mergeCell ref="D232:N232"/>
    <mergeCell ref="E235:I235"/>
    <mergeCell ref="J235:N235"/>
    <mergeCell ref="E237:I237"/>
    <mergeCell ref="F229:I229"/>
    <mergeCell ref="F244:I244"/>
    <mergeCell ref="J244:N244"/>
    <mergeCell ref="F245:I245"/>
    <mergeCell ref="J245:N245"/>
    <mergeCell ref="Y3:Z3"/>
    <mergeCell ref="E31:N31"/>
    <mergeCell ref="E29:N29"/>
    <mergeCell ref="E30:N30"/>
    <mergeCell ref="E32:N32"/>
    <mergeCell ref="F120:N120"/>
    <mergeCell ref="E114:N114"/>
    <mergeCell ref="E11:N11"/>
    <mergeCell ref="J87:N87"/>
    <mergeCell ref="G86:I86"/>
    <mergeCell ref="Y2:Z2"/>
    <mergeCell ref="E38:N38"/>
    <mergeCell ref="S4:T4"/>
    <mergeCell ref="U4:V4"/>
    <mergeCell ref="W4:X4"/>
    <mergeCell ref="E129:N129"/>
    <mergeCell ref="G3:H3"/>
    <mergeCell ref="S3:T3"/>
    <mergeCell ref="U3:V3"/>
    <mergeCell ref="W3:X3"/>
    <mergeCell ref="S2:T2"/>
    <mergeCell ref="U2:V2"/>
    <mergeCell ref="W2:X2"/>
    <mergeCell ref="E24:M24"/>
    <mergeCell ref="F26:M26"/>
    <mergeCell ref="F27:M27"/>
    <mergeCell ref="E20:N20"/>
    <mergeCell ref="F25:M25"/>
    <mergeCell ref="K4:L4"/>
    <mergeCell ref="D6:N6"/>
    <mergeCell ref="Y4:Z4"/>
    <mergeCell ref="E13:N13"/>
    <mergeCell ref="E12:N12"/>
    <mergeCell ref="E35:N35"/>
    <mergeCell ref="E124:N124"/>
    <mergeCell ref="D204:N204"/>
    <mergeCell ref="E36:N36"/>
    <mergeCell ref="D201:N201"/>
    <mergeCell ref="D202:N202"/>
    <mergeCell ref="D203:N203"/>
  </mergeCells>
  <conditionalFormatting sqref="F188:G197">
    <cfRule type="expression" priority="146" dxfId="35" stopIfTrue="1">
      <formula>AND(CNTR_ExistConnectionEntries,ISBLANK($F172))</formula>
    </cfRule>
    <cfRule type="expression" priority="147" dxfId="31" stopIfTrue="1">
      <formula>($S172=FALSE)</formula>
    </cfRule>
  </conditionalFormatting>
  <conditionalFormatting sqref="H188:N197">
    <cfRule type="expression" priority="148" dxfId="35" stopIfTrue="1">
      <formula>AND(CNTR_ExistConnectionEntries,ISBLANK($F172))</formula>
    </cfRule>
    <cfRule type="expression" priority="149" dxfId="33" stopIfTrue="1">
      <formula>MSconst_RequireConnectedInstContact</formula>
    </cfRule>
    <cfRule type="expression" priority="150" dxfId="33" stopIfTrue="1">
      <formula>($S172=FALSE)</formula>
    </cfRule>
  </conditionalFormatting>
  <conditionalFormatting sqref="J61:N61">
    <cfRule type="expression" priority="153" dxfId="31" stopIfTrue="1">
      <formula>AND(NOT(ISBLANK($J$54)),$J$54=FALSE)</formula>
    </cfRule>
  </conditionalFormatting>
  <conditionalFormatting sqref="J69:N69 J72:N73">
    <cfRule type="expression" priority="154" dxfId="31" stopIfTrue="1">
      <formula>(MSconst_RequirePermitInfo=FALSE)</formula>
    </cfRule>
  </conditionalFormatting>
  <conditionalFormatting sqref="B2:D4">
    <cfRule type="expression" priority="155" dxfId="0" stopIfTrue="1">
      <formula>CNTR_HasErrors_A</formula>
    </cfRule>
  </conditionalFormatting>
  <conditionalFormatting sqref="J221:N221 J215:N215">
    <cfRule type="expression" priority="21" dxfId="29" stopIfTrue="1">
      <formula>$Z215=1</formula>
    </cfRule>
  </conditionalFormatting>
  <conditionalFormatting sqref="J229:N229 J224:N224">
    <cfRule type="expression" priority="20" dxfId="4" stopIfTrue="1">
      <formula>$Z224</formula>
    </cfRule>
  </conditionalFormatting>
  <conditionalFormatting sqref="L18">
    <cfRule type="expression" priority="18" dxfId="4" stopIfTrue="1">
      <formula>$Z13=TRUE</formula>
    </cfRule>
  </conditionalFormatting>
  <conditionalFormatting sqref="L18">
    <cfRule type="expression" priority="19" dxfId="4" stopIfTrue="1">
      <formula>$X13=TRUE</formula>
    </cfRule>
  </conditionalFormatting>
  <conditionalFormatting sqref="M18">
    <cfRule type="expression" priority="14" dxfId="4" stopIfTrue="1">
      <formula>$Z13=TRUE</formula>
    </cfRule>
  </conditionalFormatting>
  <conditionalFormatting sqref="M18">
    <cfRule type="expression" priority="15" dxfId="4" stopIfTrue="1">
      <formula>$X13=TRUE</formula>
    </cfRule>
  </conditionalFormatting>
  <conditionalFormatting sqref="N18">
    <cfRule type="expression" priority="12" dxfId="4" stopIfTrue="1">
      <formula>$Z13=TRUE</formula>
    </cfRule>
  </conditionalFormatting>
  <conditionalFormatting sqref="N18">
    <cfRule type="expression" priority="13" dxfId="4" stopIfTrue="1">
      <formula>$X13=TRUE</formula>
    </cfRule>
  </conditionalFormatting>
  <conditionalFormatting sqref="N25:N26">
    <cfRule type="expression" priority="10" dxfId="4" stopIfTrue="1">
      <formula>$Z19=TRUE</formula>
    </cfRule>
  </conditionalFormatting>
  <conditionalFormatting sqref="N25:N26">
    <cfRule type="expression" priority="11" dxfId="4" stopIfTrue="1">
      <formula>$X19=TRUE</formula>
    </cfRule>
  </conditionalFormatting>
  <conditionalFormatting sqref="N28">
    <cfRule type="expression" priority="157" dxfId="4" stopIfTrue="1">
      <formula>$Z21=TRUE</formula>
    </cfRule>
  </conditionalFormatting>
  <conditionalFormatting sqref="N28">
    <cfRule type="expression" priority="159" dxfId="4" stopIfTrue="1">
      <formula>$X21=TRUE</formula>
    </cfRule>
  </conditionalFormatting>
  <conditionalFormatting sqref="N27">
    <cfRule type="expression" priority="6" dxfId="4" stopIfTrue="1">
      <formula>$Z21=TRUE</formula>
    </cfRule>
  </conditionalFormatting>
  <conditionalFormatting sqref="N27">
    <cfRule type="expression" priority="7" dxfId="4" stopIfTrue="1">
      <formula>$X21=TRUE</formula>
    </cfRule>
  </conditionalFormatting>
  <conditionalFormatting sqref="N24">
    <cfRule type="expression" priority="4" dxfId="4" stopIfTrue="1">
      <formula>$Z17=TRUE</formula>
    </cfRule>
  </conditionalFormatting>
  <conditionalFormatting sqref="N24">
    <cfRule type="expression" priority="5" dxfId="4" stopIfTrue="1">
      <formula>$X17=TRUE</formula>
    </cfRule>
  </conditionalFormatting>
  <conditionalFormatting sqref="J271:N271 J266:N266 J263:N263 J261:N261 J245:N245 J240:N240 J237:N237 J235:N235">
    <cfRule type="expression" priority="3" dxfId="4" stopIfTrue="1">
      <formula>$Z235=TRUE</formula>
    </cfRule>
  </conditionalFormatting>
  <conditionalFormatting sqref="G3:H3">
    <cfRule type="expression" priority="2" dxfId="11" stopIfTrue="1">
      <formula>$Y$38</formula>
    </cfRule>
  </conditionalFormatting>
  <conditionalFormatting sqref="I3:J3">
    <cfRule type="expression" priority="1" dxfId="11" stopIfTrue="1">
      <formula>$G$283=TRUE</formula>
    </cfRule>
  </conditionalFormatting>
  <dataValidations count="13">
    <dataValidation type="list" allowBlank="1" showInputMessage="1" showErrorMessage="1" sqref="L144:M144 J54 J210 N26">
      <formula1>Euconst_TrueFalse</formula1>
    </dataValidation>
    <dataValidation type="list" allowBlank="1" showInputMessage="1" showErrorMessage="1" sqref="I172:I181">
      <formula1>EUconst_ConnectedEntityTypes</formula1>
    </dataValidation>
    <dataValidation type="list" allowBlank="1" showInputMessage="1" showErrorMessage="1" sqref="K172:L181">
      <formula1>EUconst_ConnectionTypes</formula1>
    </dataValidation>
    <dataValidation type="list" allowBlank="1" showInputMessage="1" showErrorMessage="1" sqref="M172:N181">
      <formula1>EUconst_ConnectionTransferTypes</formula1>
    </dataValidation>
    <dataValidation type="list" allowBlank="1" showInputMessage="1" showErrorMessage="1" sqref="E36:N36">
      <formula1>EUconst_ConfirmAllowUseOfData</formula1>
    </dataValidation>
    <dataValidation type="list" allowBlank="1" showInputMessage="1" showErrorMessage="1" sqref="G118:N121 F117:F121">
      <formula1>EUconst_AnnexIActivities</formula1>
    </dataValidation>
    <dataValidation errorStyle="warning" type="textLength" operator="equal" allowBlank="1" showInputMessage="1" showErrorMessage="1" sqref="L131:L132">
      <formula1>4</formula1>
    </dataValidation>
    <dataValidation type="list" allowBlank="1" showInputMessage="1" showErrorMessage="1" sqref="J51:N51">
      <formula1>EUconst_MSlist</formula1>
    </dataValidation>
    <dataValidation type="list" allowBlank="1" showInputMessage="1" showErrorMessage="1" sqref="E13:N13">
      <formula1>EUconst_ConfirmMergerSplit</formula1>
    </dataValidation>
    <dataValidation type="list" allowBlank="1" showInputMessage="1" showErrorMessage="1" sqref="L18">
      <formula1>EUconst_Days</formula1>
    </dataValidation>
    <dataValidation type="list" allowBlank="1" showInputMessage="1" showErrorMessage="1" sqref="M18">
      <formula1>EUconst_Months</formula1>
    </dataValidation>
    <dataValidation type="list" allowBlank="1" showInputMessage="1" showErrorMessage="1" sqref="N18">
      <formula1>EUconst_ReportingYears</formula1>
    </dataValidation>
    <dataValidation type="list" allowBlank="1" showInputMessage="1" showErrorMessage="1" sqref="L15">
      <formula1>EUconst_MergerSplitOrTransfer</formula1>
    </dataValidation>
  </dataValidations>
  <hyperlinks>
    <hyperlink ref="E128" r:id="rId1" display="http://ec.europa.eu/eurostat/ramon/nomenclatures/index.cfm?TargetUrl=LST_CLS_DLD&amp;StrNom=NACE_REV2&amp;StrLanguageCode=EN&amp;StrLayoutCode=HIERARCHIC"/>
    <hyperlink ref="E126" r:id="rId2" display="http://ec.europa.eu/eurostat/ramon/nomenclatures/index.cfm?TargetUrl=LST_CLS_DLD&amp;StrNom=NACE_1_1&amp;StrLanguageCode=EN&amp;StrLayoutCode=HIERARCHIC"/>
    <hyperlink ref="G2:H2" location="JUMP_Coverpage_Top" display="JUMP_Coverpage_Top"/>
  </hyperlinks>
  <printOptions/>
  <pageMargins left="0.7874015748031497" right="0.7874015748031497" top="0.7874015748031497" bottom="0.7874015748031497" header="0.5118110236220472" footer="0.5118110236220472"/>
  <pageSetup fitToHeight="20" fitToWidth="1" horizontalDpi="600" verticalDpi="600" orientation="portrait" paperSize="9" scale="64" r:id="rId5"/>
  <headerFooter alignWithMargins="0">
    <oddHeader>&amp;L&amp;F; &amp;A&amp;R&amp;D; &amp;T</oddHeader>
    <oddFooter>&amp;C&amp;P / &amp;N</oddFooter>
  </headerFooter>
  <rowBreaks count="1" manualBreakCount="1">
    <brk id="146" min="2" max="13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3"/>
  <sheetViews>
    <sheetView zoomScalePageLayoutView="0" workbookViewId="0" topLeftCell="A1">
      <pane ySplit="4" topLeftCell="A98" activePane="bottomLeft" state="frozen"/>
      <selection pane="topLeft" activeCell="F43" sqref="F43"/>
      <selection pane="bottomLeft" activeCell="D145" sqref="D145:G145"/>
    </sheetView>
  </sheetViews>
  <sheetFormatPr defaultColWidth="11.421875" defaultRowHeight="12.75"/>
  <cols>
    <col min="1" max="1" width="4.7109375" style="543" hidden="1" customWidth="1"/>
    <col min="2" max="2" width="2.7109375" style="543" customWidth="1"/>
    <col min="3" max="4" width="4.7109375" style="543" customWidth="1"/>
    <col min="5" max="14" width="12.7109375" style="543" customWidth="1"/>
    <col min="15" max="15" width="4.7109375" style="543" customWidth="1"/>
    <col min="16" max="16" width="21.57421875" style="543" hidden="1" customWidth="1"/>
    <col min="17" max="27" width="11.421875" style="474" hidden="1" customWidth="1"/>
    <col min="28" max="16384" width="11.421875" style="543" customWidth="1"/>
  </cols>
  <sheetData>
    <row r="1" spans="1:27" s="4" customFormat="1" ht="13.5" hidden="1" thickBot="1">
      <c r="A1" s="4" t="s">
        <v>474</v>
      </c>
      <c r="P1" s="284" t="s">
        <v>474</v>
      </c>
      <c r="Q1" s="384" t="s">
        <v>474</v>
      </c>
      <c r="R1" s="384" t="s">
        <v>474</v>
      </c>
      <c r="S1" s="401" t="s">
        <v>474</v>
      </c>
      <c r="T1" s="384" t="s">
        <v>474</v>
      </c>
      <c r="U1" s="384" t="s">
        <v>474</v>
      </c>
      <c r="V1" s="384" t="s">
        <v>474</v>
      </c>
      <c r="W1" s="384" t="s">
        <v>474</v>
      </c>
      <c r="X1" s="384" t="s">
        <v>474</v>
      </c>
      <c r="Y1" s="384" t="s">
        <v>474</v>
      </c>
      <c r="Z1" s="384" t="s">
        <v>474</v>
      </c>
      <c r="AA1" s="384" t="s">
        <v>474</v>
      </c>
    </row>
    <row r="2" spans="1:27" s="483" customFormat="1" ht="13.5" customHeight="1" thickBot="1">
      <c r="A2" s="4"/>
      <c r="B2" s="859" t="str">
        <f>Translations!$B$590</f>
        <v>B. Първоначална ситуация</v>
      </c>
      <c r="C2" s="860"/>
      <c r="D2" s="861"/>
      <c r="E2" s="201" t="str">
        <f>Translations!$B$276</f>
        <v>Навигационно меню:</v>
      </c>
      <c r="F2" s="199"/>
      <c r="G2" s="661" t="str">
        <f>Translations!$B$290</f>
        <v>Съдържание</v>
      </c>
      <c r="H2" s="648"/>
      <c r="I2" s="648" t="str">
        <f>HYPERLINK(U2,Translations!$B$291)</f>
        <v>Предишен работен лист (sheet)</v>
      </c>
      <c r="J2" s="648"/>
      <c r="K2" s="648" t="str">
        <f>HYPERLINK(W2,Translations!$B$277)</f>
        <v>Следващ работен лист (sheet)</v>
      </c>
      <c r="L2" s="648"/>
      <c r="M2" s="648" t="str">
        <f>HYPERLINK(Y2,Translations!$B$278)</f>
        <v>Обобщение</v>
      </c>
      <c r="N2" s="655"/>
      <c r="O2" s="9"/>
      <c r="P2" s="9"/>
      <c r="Q2" s="402" t="s">
        <v>539</v>
      </c>
      <c r="R2" s="402"/>
      <c r="S2" s="650"/>
      <c r="T2" s="651"/>
      <c r="U2" s="652" t="str">
        <f>"#"&amp;ADDRESS(ROW(C6),COLUMN(C6),,,A_InstallationData!Q3)</f>
        <v>#A_InstallationData!$C$6</v>
      </c>
      <c r="V2" s="651"/>
      <c r="W2" s="652" t="str">
        <f>"#"&amp;ADDRESS(ROW(C6),COLUMN(C6),,,C_MergerSplitTransfer!Q3)</f>
        <v>#C_MergerSplitTransfer!$C$6</v>
      </c>
      <c r="X2" s="651"/>
      <c r="Y2" s="652" t="str">
        <f>"#"&amp;ADDRESS(ROW(C6),COLUMN(C6),,,D_Summary!Q3)</f>
        <v>#D_Summary!$C$6</v>
      </c>
      <c r="Z2" s="653"/>
      <c r="AA2" s="384"/>
    </row>
    <row r="3" spans="1:27" s="483" customFormat="1" ht="13.5" customHeight="1" thickBot="1">
      <c r="A3" s="4"/>
      <c r="B3" s="862"/>
      <c r="C3" s="863"/>
      <c r="D3" s="864"/>
      <c r="E3" s="648" t="str">
        <f>HYPERLINK(R3,Translations!$B$279)</f>
        <v>Начало на работния лист</v>
      </c>
      <c r="F3" s="696"/>
      <c r="G3" s="662" t="str">
        <f>HYPERLINK(S3,Translations!$B$540)</f>
        <v>Първоначална инсталация 1</v>
      </c>
      <c r="H3" s="663"/>
      <c r="I3" s="698" t="str">
        <f>HYPERLINK(U3,Translations!$B$541)</f>
        <v>Първоначална инсталация 2</v>
      </c>
      <c r="J3" s="663"/>
      <c r="K3" s="698"/>
      <c r="L3" s="663"/>
      <c r="M3" s="698"/>
      <c r="N3" s="663"/>
      <c r="O3" s="9"/>
      <c r="P3" s="9"/>
      <c r="Q3" s="460" t="str">
        <f ca="1">IF(ISERROR(CELL("filename",Q1)),"B_InitialSituation",MID(CELL("filename",Q1),FIND("]",CELL("filename",Q1))+1,1024))</f>
        <v>B_InitialSituation</v>
      </c>
      <c r="R3" s="461" t="str">
        <f>"#"&amp;ADDRESS(ROW(C6),COLUMN(C6))</f>
        <v>#$C$6</v>
      </c>
      <c r="S3" s="721" t="str">
        <f>"#"&amp;ADDRESS(ROW(C10),COLUMN(C10))</f>
        <v>#$C$10</v>
      </c>
      <c r="T3" s="722"/>
      <c r="U3" s="723" t="str">
        <f>"#"&amp;ADDRESS(ROW(C83),COLUMN(C83))</f>
        <v>#$C$83</v>
      </c>
      <c r="V3" s="722"/>
      <c r="W3" s="723"/>
      <c r="X3" s="722"/>
      <c r="Y3" s="723"/>
      <c r="Z3" s="724"/>
      <c r="AA3" s="384"/>
    </row>
    <row r="4" spans="1:27" s="483" customFormat="1" ht="13.5" customHeight="1" thickBot="1">
      <c r="A4" s="4"/>
      <c r="B4" s="865"/>
      <c r="C4" s="866"/>
      <c r="D4" s="867"/>
      <c r="E4" s="648" t="str">
        <f>HYPERLINK(R4,Translations!$B$280)</f>
        <v>Край на работния лист</v>
      </c>
      <c r="F4" s="648"/>
      <c r="G4" s="704"/>
      <c r="H4" s="705"/>
      <c r="I4" s="706"/>
      <c r="J4" s="705"/>
      <c r="K4" s="706"/>
      <c r="L4" s="705"/>
      <c r="M4" s="706"/>
      <c r="N4" s="705"/>
      <c r="O4" s="9"/>
      <c r="P4" s="9"/>
      <c r="Q4" s="402"/>
      <c r="R4" s="462" t="str">
        <f>"#"&amp;ADDRESS(ROW(D152),COLUMN(D152))</f>
        <v>#$D$152</v>
      </c>
      <c r="S4" s="727"/>
      <c r="T4" s="728"/>
      <c r="U4" s="729"/>
      <c r="V4" s="728"/>
      <c r="W4" s="729"/>
      <c r="X4" s="728"/>
      <c r="Y4" s="729"/>
      <c r="Z4" s="730"/>
      <c r="AA4" s="384"/>
    </row>
    <row r="5" spans="1:27" s="483" customFormat="1" ht="12.75">
      <c r="A5" s="4"/>
      <c r="B5" s="5"/>
      <c r="C5" s="6"/>
      <c r="D5" s="7"/>
      <c r="E5" s="7"/>
      <c r="F5" s="8"/>
      <c r="G5" s="8"/>
      <c r="H5" s="8"/>
      <c r="I5" s="5"/>
      <c r="J5" s="5"/>
      <c r="K5" s="5"/>
      <c r="L5" s="5"/>
      <c r="M5" s="9"/>
      <c r="N5" s="9"/>
      <c r="O5" s="9"/>
      <c r="P5" s="9"/>
      <c r="Q5" s="402"/>
      <c r="R5" s="384"/>
      <c r="S5" s="384"/>
      <c r="T5" s="384"/>
      <c r="U5" s="384"/>
      <c r="V5" s="384"/>
      <c r="W5" s="384"/>
      <c r="X5" s="384"/>
      <c r="Y5" s="384"/>
      <c r="Z5" s="384"/>
      <c r="AA5" s="384"/>
    </row>
    <row r="6" spans="1:27" s="483" customFormat="1" ht="23.25" customHeight="1">
      <c r="A6" s="4"/>
      <c r="B6" s="5"/>
      <c r="C6" s="11" t="s">
        <v>338</v>
      </c>
      <c r="D6" s="664" t="str">
        <f>Translations!$B$591</f>
        <v>Лист „Първоначална ситуация“</v>
      </c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9"/>
      <c r="P6" s="9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</row>
    <row r="7" spans="1:27" s="483" customFormat="1" ht="12.75">
      <c r="A7" s="4"/>
      <c r="B7" s="18"/>
      <c r="C7" s="18"/>
      <c r="D7" s="102"/>
      <c r="E7" s="100"/>
      <c r="F7" s="15"/>
      <c r="G7" s="15"/>
      <c r="H7" s="9"/>
      <c r="I7" s="9"/>
      <c r="J7" s="101"/>
      <c r="K7" s="101"/>
      <c r="L7" s="101"/>
      <c r="M7" s="18"/>
      <c r="N7" s="18"/>
      <c r="O7" s="18"/>
      <c r="P7" s="18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</row>
    <row r="8" spans="1:27" s="485" customFormat="1" ht="18" customHeight="1">
      <c r="A8" s="336"/>
      <c r="B8" s="208"/>
      <c r="C8" s="281" t="s">
        <v>40</v>
      </c>
      <c r="D8" s="297" t="str">
        <f>Translations!$B$592</f>
        <v>Ситуация ПРЕДИ сливането на инсталации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09"/>
      <c r="P8" s="209"/>
      <c r="Q8" s="328" t="s">
        <v>322</v>
      </c>
      <c r="R8" s="328" t="s">
        <v>322</v>
      </c>
      <c r="S8" s="328" t="s">
        <v>322</v>
      </c>
      <c r="T8" s="328" t="s">
        <v>322</v>
      </c>
      <c r="U8" s="328" t="s">
        <v>322</v>
      </c>
      <c r="V8" s="328" t="s">
        <v>322</v>
      </c>
      <c r="W8" s="328" t="s">
        <v>322</v>
      </c>
      <c r="X8" s="328" t="s">
        <v>322</v>
      </c>
      <c r="Y8" s="328" t="s">
        <v>322</v>
      </c>
      <c r="Z8" s="328" t="s">
        <v>322</v>
      </c>
      <c r="AA8" s="328"/>
    </row>
    <row r="9" spans="1:27" s="483" customFormat="1" ht="12.75" customHeight="1" thickBo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9"/>
      <c r="O9" s="9"/>
      <c r="P9" s="9"/>
      <c r="Q9" s="402"/>
      <c r="R9" s="384"/>
      <c r="S9" s="384"/>
      <c r="T9" s="384"/>
      <c r="U9" s="384"/>
      <c r="V9" s="384"/>
      <c r="W9" s="384"/>
      <c r="X9" s="384"/>
      <c r="Y9" s="384"/>
      <c r="Z9" s="384"/>
      <c r="AA9" s="384"/>
    </row>
    <row r="10" spans="1:27" s="486" customFormat="1" ht="18" customHeight="1" thickBot="1">
      <c r="A10" s="207"/>
      <c r="B10" s="208"/>
      <c r="C10" s="302">
        <v>1</v>
      </c>
      <c r="D10" s="918" t="str">
        <f>Translations!$B$534&amp;" "&amp;C10&amp;":"</f>
        <v>Инсталация ПРЕДИ сливане, разделяне или прехвърляне 1:</v>
      </c>
      <c r="E10" s="918"/>
      <c r="F10" s="918"/>
      <c r="G10" s="918"/>
      <c r="H10" s="918"/>
      <c r="I10" s="918"/>
      <c r="J10" s="919"/>
      <c r="K10" s="898">
        <f>INDEX(A_InstallationData!$J$200:$J$273,MATCH($C10,A_InstallationData!$R$200:$R$273,0))</f>
      </c>
      <c r="L10" s="899"/>
      <c r="M10" s="899"/>
      <c r="N10" s="900"/>
      <c r="O10" s="304"/>
      <c r="P10" s="296"/>
      <c r="Q10" s="463"/>
      <c r="R10" s="406"/>
      <c r="S10" s="406"/>
      <c r="T10" s="384"/>
      <c r="U10" s="406"/>
      <c r="V10" s="406"/>
      <c r="W10" s="406"/>
      <c r="X10" s="406"/>
      <c r="Y10" s="406"/>
      <c r="Z10" s="408" t="s">
        <v>293</v>
      </c>
      <c r="AA10" s="384"/>
    </row>
    <row r="11" spans="1:27" s="483" customFormat="1" ht="18" customHeight="1">
      <c r="A11" s="4"/>
      <c r="B11" s="5"/>
      <c r="C11" s="7"/>
      <c r="D11" s="5"/>
      <c r="E11" s="9"/>
      <c r="F11" s="5"/>
      <c r="G11" s="5"/>
      <c r="H11" s="5"/>
      <c r="I11" s="5"/>
      <c r="J11" s="5"/>
      <c r="K11" s="5"/>
      <c r="L11" s="5"/>
      <c r="M11" s="901">
        <f>IF(CNTR_Merger&lt;&gt;TRUE,"",IF(K10="",EUconst_NotRelevant,EUconst_Relevant))</f>
      </c>
      <c r="N11" s="901"/>
      <c r="O11" s="280"/>
      <c r="P11" s="9"/>
      <c r="Q11" s="402"/>
      <c r="R11" s="384"/>
      <c r="S11" s="384"/>
      <c r="T11" s="384"/>
      <c r="U11" s="384"/>
      <c r="V11" s="384"/>
      <c r="W11" s="384"/>
      <c r="X11" s="384"/>
      <c r="Y11" s="384"/>
      <c r="Z11" s="384"/>
      <c r="AA11" s="384"/>
    </row>
    <row r="12" spans="1:27" s="483" customFormat="1" ht="12.75" customHeight="1">
      <c r="A12" s="4"/>
      <c r="B12" s="5"/>
      <c r="C12" s="7"/>
      <c r="D12" s="5"/>
      <c r="E12" s="5"/>
      <c r="F12" s="5"/>
      <c r="G12" s="5"/>
      <c r="H12" s="5"/>
      <c r="I12" s="5"/>
      <c r="J12" s="5"/>
      <c r="K12" s="5"/>
      <c r="L12" s="5"/>
      <c r="M12" s="9"/>
      <c r="N12" s="9"/>
      <c r="O12" s="280"/>
      <c r="P12" s="9"/>
      <c r="Q12" s="402"/>
      <c r="R12" s="384"/>
      <c r="S12" s="384"/>
      <c r="T12" s="384"/>
      <c r="U12" s="384"/>
      <c r="V12" s="384"/>
      <c r="W12" s="384"/>
      <c r="X12" s="384"/>
      <c r="Y12" s="384"/>
      <c r="Z12" s="384"/>
      <c r="AA12" s="384"/>
    </row>
    <row r="13" spans="1:27" s="483" customFormat="1" ht="29.25" customHeight="1">
      <c r="A13" s="4"/>
      <c r="B13" s="5"/>
      <c r="C13" s="5"/>
      <c r="D13" s="193" t="s">
        <v>452</v>
      </c>
      <c r="E13" s="689" t="str">
        <f>Translations!$B$593</f>
        <v>Най-ново окончателно разпределено количество квоти без отчитане на корекционни коефициенти за евентуални частични спирания на дейности</v>
      </c>
      <c r="F13" s="688"/>
      <c r="G13" s="688"/>
      <c r="H13" s="688"/>
      <c r="I13" s="688"/>
      <c r="J13" s="688"/>
      <c r="K13" s="688"/>
      <c r="L13" s="688"/>
      <c r="M13" s="688"/>
      <c r="N13" s="688"/>
      <c r="O13" s="282"/>
      <c r="P13" s="342"/>
      <c r="Q13" s="402"/>
      <c r="R13" s="384"/>
      <c r="S13" s="384"/>
      <c r="T13" s="384"/>
      <c r="U13" s="384"/>
      <c r="V13" s="384"/>
      <c r="W13" s="384"/>
      <c r="X13" s="384"/>
      <c r="Y13" s="384"/>
      <c r="Z13" s="384"/>
      <c r="AA13" s="384"/>
    </row>
    <row r="14" spans="1:27" s="483" customFormat="1" ht="24.75" customHeight="1">
      <c r="A14" s="4"/>
      <c r="B14" s="5"/>
      <c r="C14" s="5"/>
      <c r="D14" s="193"/>
      <c r="E14" s="742" t="str">
        <f>Translations!$B$594</f>
        <v>Моля въведете тук най-новото окончателно количество на безплатно предоставени квоти, без отчитане на корекционни коефициенти по член 23 от CIMs (Решение2011/278/ЕС) .</v>
      </c>
      <c r="F14" s="667"/>
      <c r="G14" s="667"/>
      <c r="H14" s="667"/>
      <c r="I14" s="667"/>
      <c r="J14" s="667"/>
      <c r="K14" s="667"/>
      <c r="L14" s="667"/>
      <c r="M14" s="667"/>
      <c r="N14" s="667"/>
      <c r="O14" s="282"/>
      <c r="P14" s="288"/>
      <c r="Q14" s="402"/>
      <c r="R14" s="384"/>
      <c r="S14" s="384"/>
      <c r="T14" s="384"/>
      <c r="U14" s="384"/>
      <c r="V14" s="384"/>
      <c r="W14" s="384"/>
      <c r="X14" s="384"/>
      <c r="Y14" s="384"/>
      <c r="Z14" s="384"/>
      <c r="AA14" s="384"/>
    </row>
    <row r="15" spans="1:27" s="483" customFormat="1" ht="4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9"/>
      <c r="O15" s="288"/>
      <c r="P15" s="9"/>
      <c r="Q15" s="402"/>
      <c r="R15" s="384"/>
      <c r="S15" s="384"/>
      <c r="T15" s="384"/>
      <c r="U15" s="384"/>
      <c r="V15" s="384"/>
      <c r="W15" s="384"/>
      <c r="X15" s="384"/>
      <c r="Y15" s="384"/>
      <c r="Z15" s="384"/>
      <c r="AA15" s="384"/>
    </row>
    <row r="16" spans="1:27" s="483" customFormat="1" ht="12.75" customHeight="1" thickBot="1">
      <c r="A16" s="4"/>
      <c r="B16" s="5"/>
      <c r="C16" s="20"/>
      <c r="D16" s="803" t="str">
        <f>Translations!$B$402</f>
        <v>Подинсталация</v>
      </c>
      <c r="E16" s="842"/>
      <c r="F16" s="914"/>
      <c r="G16" s="211">
        <v>2013</v>
      </c>
      <c r="H16" s="211">
        <v>2014</v>
      </c>
      <c r="I16" s="211">
        <v>2015</v>
      </c>
      <c r="J16" s="211">
        <v>2016</v>
      </c>
      <c r="K16" s="211">
        <v>2017</v>
      </c>
      <c r="L16" s="211">
        <v>2018</v>
      </c>
      <c r="M16" s="211">
        <v>2019</v>
      </c>
      <c r="N16" s="211">
        <v>2020</v>
      </c>
      <c r="O16" s="288"/>
      <c r="P16" s="286"/>
      <c r="Q16" s="402"/>
      <c r="R16" s="384"/>
      <c r="S16" s="384"/>
      <c r="T16" s="410" t="s">
        <v>487</v>
      </c>
      <c r="U16" s="384"/>
      <c r="V16" s="410" t="s">
        <v>532</v>
      </c>
      <c r="W16" s="384"/>
      <c r="X16" s="411" t="s">
        <v>533</v>
      </c>
      <c r="Y16" s="384"/>
      <c r="Z16" s="408" t="s">
        <v>293</v>
      </c>
      <c r="AA16" s="384"/>
    </row>
    <row r="17" spans="1:27" s="483" customFormat="1" ht="12.75" customHeight="1" thickBot="1">
      <c r="A17" s="4"/>
      <c r="B17" s="5"/>
      <c r="C17" s="210">
        <v>0</v>
      </c>
      <c r="D17" s="892" t="str">
        <f>Translations!$B$501</f>
        <v>Етап преди започване</v>
      </c>
      <c r="E17" s="893"/>
      <c r="F17" s="894"/>
      <c r="G17" s="475"/>
      <c r="H17" s="475"/>
      <c r="I17" s="475"/>
      <c r="J17" s="475"/>
      <c r="K17" s="475"/>
      <c r="L17" s="475"/>
      <c r="M17" s="475"/>
      <c r="N17" s="475"/>
      <c r="O17" s="288"/>
      <c r="P17" s="286"/>
      <c r="Q17" s="412" t="str">
        <f aca="true" t="shared" si="0" ref="Q17:Q34">EUconst_CNTR_Finitial&amp;$V17&amp;"_"&amp;$D17</f>
        <v>FInitial_1_Етап преди започване</v>
      </c>
      <c r="R17" s="384"/>
      <c r="S17" s="384"/>
      <c r="T17" s="410"/>
      <c r="U17" s="384"/>
      <c r="V17" s="413">
        <f>C10</f>
        <v>1</v>
      </c>
      <c r="W17" s="384"/>
      <c r="X17" s="409" t="b">
        <f aca="true" t="shared" si="1" ref="X17:X34">COUNT(G17:N17)&gt;0</f>
        <v>0</v>
      </c>
      <c r="Y17" s="384"/>
      <c r="Z17" s="409" t="b">
        <f>M11=EUconst_NotRelevant</f>
        <v>0</v>
      </c>
      <c r="AA17" s="384"/>
    </row>
    <row r="18" spans="1:27" s="483" customFormat="1" ht="12.75" customHeight="1">
      <c r="A18" s="4"/>
      <c r="B18" s="5"/>
      <c r="C18" s="29">
        <v>1</v>
      </c>
      <c r="D18" s="915"/>
      <c r="E18" s="916"/>
      <c r="F18" s="917"/>
      <c r="G18" s="313"/>
      <c r="H18" s="313"/>
      <c r="I18" s="313"/>
      <c r="J18" s="313"/>
      <c r="K18" s="313"/>
      <c r="L18" s="313"/>
      <c r="M18" s="313"/>
      <c r="N18" s="313"/>
      <c r="O18" s="288"/>
      <c r="P18" s="286"/>
      <c r="Q18" s="412" t="str">
        <f t="shared" si="0"/>
        <v>FInitial_1_</v>
      </c>
      <c r="R18" s="384"/>
      <c r="S18" s="384"/>
      <c r="T18" s="413">
        <f>IF(OR(D18="",COUNTIF($D$17:D18,D18)&gt;1),"",MAX($T$17:T17)+1)</f>
      </c>
      <c r="U18" s="384"/>
      <c r="V18" s="414">
        <f aca="true" t="shared" si="2" ref="V18:V34">V17</f>
        <v>1</v>
      </c>
      <c r="W18" s="384"/>
      <c r="X18" s="409" t="b">
        <f t="shared" si="1"/>
        <v>0</v>
      </c>
      <c r="Y18" s="384"/>
      <c r="Z18" s="409" t="b">
        <f aca="true" t="shared" si="3" ref="Z18:Z35">Z17</f>
        <v>0</v>
      </c>
      <c r="AA18" s="384"/>
    </row>
    <row r="19" spans="1:27" s="483" customFormat="1" ht="12.75" customHeight="1">
      <c r="A19" s="4"/>
      <c r="B19" s="5"/>
      <c r="C19" s="29">
        <v>2</v>
      </c>
      <c r="D19" s="801"/>
      <c r="E19" s="818"/>
      <c r="F19" s="802"/>
      <c r="G19" s="312"/>
      <c r="H19" s="312"/>
      <c r="I19" s="312"/>
      <c r="J19" s="312"/>
      <c r="K19" s="312"/>
      <c r="L19" s="312"/>
      <c r="M19" s="312"/>
      <c r="N19" s="312"/>
      <c r="O19" s="288"/>
      <c r="P19" s="286"/>
      <c r="Q19" s="412" t="str">
        <f t="shared" si="0"/>
        <v>FInitial_1_</v>
      </c>
      <c r="R19" s="384"/>
      <c r="S19" s="384"/>
      <c r="T19" s="414">
        <f>IF(OR(D19="",COUNTIF($D$17:D19,D19)&gt;1),"",MAX($T$17:T18)+1)</f>
      </c>
      <c r="U19" s="384"/>
      <c r="V19" s="414">
        <f t="shared" si="2"/>
        <v>1</v>
      </c>
      <c r="W19" s="384"/>
      <c r="X19" s="409" t="b">
        <f t="shared" si="1"/>
        <v>0</v>
      </c>
      <c r="Y19" s="384"/>
      <c r="Z19" s="409" t="b">
        <f t="shared" si="3"/>
        <v>0</v>
      </c>
      <c r="AA19" s="384"/>
    </row>
    <row r="20" spans="1:27" s="483" customFormat="1" ht="12.75" customHeight="1">
      <c r="A20" s="4"/>
      <c r="B20" s="5"/>
      <c r="C20" s="29">
        <v>3</v>
      </c>
      <c r="D20" s="801"/>
      <c r="E20" s="818"/>
      <c r="F20" s="802"/>
      <c r="G20" s="312"/>
      <c r="H20" s="312"/>
      <c r="I20" s="312"/>
      <c r="J20" s="312"/>
      <c r="K20" s="312"/>
      <c r="L20" s="312"/>
      <c r="M20" s="312"/>
      <c r="N20" s="312"/>
      <c r="O20" s="288"/>
      <c r="P20" s="286"/>
      <c r="Q20" s="412" t="str">
        <f t="shared" si="0"/>
        <v>FInitial_1_</v>
      </c>
      <c r="R20" s="384"/>
      <c r="S20" s="384"/>
      <c r="T20" s="414">
        <f>IF(OR(D20="",COUNTIF($D$17:D20,D20)&gt;1),"",MAX($T$17:T19)+1)</f>
      </c>
      <c r="U20" s="384"/>
      <c r="V20" s="414">
        <f t="shared" si="2"/>
        <v>1</v>
      </c>
      <c r="W20" s="384"/>
      <c r="X20" s="409" t="b">
        <f t="shared" si="1"/>
        <v>0</v>
      </c>
      <c r="Y20" s="384"/>
      <c r="Z20" s="409" t="b">
        <f t="shared" si="3"/>
        <v>0</v>
      </c>
      <c r="AA20" s="384"/>
    </row>
    <row r="21" spans="1:27" s="483" customFormat="1" ht="12.75" customHeight="1">
      <c r="A21" s="4"/>
      <c r="B21" s="5"/>
      <c r="C21" s="29">
        <v>4</v>
      </c>
      <c r="D21" s="801"/>
      <c r="E21" s="818"/>
      <c r="F21" s="802"/>
      <c r="G21" s="312"/>
      <c r="H21" s="312"/>
      <c r="I21" s="312"/>
      <c r="J21" s="312"/>
      <c r="K21" s="312"/>
      <c r="L21" s="312"/>
      <c r="M21" s="312"/>
      <c r="N21" s="312"/>
      <c r="O21" s="288"/>
      <c r="P21" s="286"/>
      <c r="Q21" s="412" t="str">
        <f t="shared" si="0"/>
        <v>FInitial_1_</v>
      </c>
      <c r="R21" s="384"/>
      <c r="S21" s="384"/>
      <c r="T21" s="414">
        <f>IF(OR(D21="",COUNTIF($D$17:D21,D21)&gt;1),"",MAX($T$17:T20)+1)</f>
      </c>
      <c r="U21" s="384"/>
      <c r="V21" s="414">
        <f t="shared" si="2"/>
        <v>1</v>
      </c>
      <c r="W21" s="384"/>
      <c r="X21" s="409" t="b">
        <f t="shared" si="1"/>
        <v>0</v>
      </c>
      <c r="Y21" s="384"/>
      <c r="Z21" s="409" t="b">
        <f t="shared" si="3"/>
        <v>0</v>
      </c>
      <c r="AA21" s="384"/>
    </row>
    <row r="22" spans="1:27" s="483" customFormat="1" ht="12.75" customHeight="1">
      <c r="A22" s="4"/>
      <c r="B22" s="5"/>
      <c r="C22" s="29">
        <v>5</v>
      </c>
      <c r="D22" s="801"/>
      <c r="E22" s="818"/>
      <c r="F22" s="802"/>
      <c r="G22" s="312"/>
      <c r="H22" s="312"/>
      <c r="I22" s="312"/>
      <c r="J22" s="312"/>
      <c r="K22" s="312"/>
      <c r="L22" s="312"/>
      <c r="M22" s="312"/>
      <c r="N22" s="312"/>
      <c r="O22" s="288"/>
      <c r="P22" s="286"/>
      <c r="Q22" s="412" t="str">
        <f t="shared" si="0"/>
        <v>FInitial_1_</v>
      </c>
      <c r="R22" s="384"/>
      <c r="S22" s="384"/>
      <c r="T22" s="414">
        <f>IF(OR(D22="",COUNTIF($D$17:D22,D22)&gt;1),"",MAX($T$17:T21)+1)</f>
      </c>
      <c r="U22" s="384"/>
      <c r="V22" s="414">
        <f t="shared" si="2"/>
        <v>1</v>
      </c>
      <c r="W22" s="384"/>
      <c r="X22" s="409" t="b">
        <f t="shared" si="1"/>
        <v>0</v>
      </c>
      <c r="Y22" s="384"/>
      <c r="Z22" s="409" t="b">
        <f t="shared" si="3"/>
        <v>0</v>
      </c>
      <c r="AA22" s="384"/>
    </row>
    <row r="23" spans="1:27" s="483" customFormat="1" ht="12.75" customHeight="1">
      <c r="A23" s="4"/>
      <c r="B23" s="5"/>
      <c r="C23" s="29">
        <v>6</v>
      </c>
      <c r="D23" s="801"/>
      <c r="E23" s="818"/>
      <c r="F23" s="802"/>
      <c r="G23" s="312"/>
      <c r="H23" s="312"/>
      <c r="I23" s="312"/>
      <c r="J23" s="312"/>
      <c r="K23" s="312"/>
      <c r="L23" s="312"/>
      <c r="M23" s="312"/>
      <c r="N23" s="312"/>
      <c r="O23" s="288"/>
      <c r="P23" s="9"/>
      <c r="Q23" s="412" t="str">
        <f t="shared" si="0"/>
        <v>FInitial_1_</v>
      </c>
      <c r="R23" s="384"/>
      <c r="S23" s="384"/>
      <c r="T23" s="414">
        <f>IF(OR(D23="",COUNTIF($D$17:D23,D23)&gt;1),"",MAX($T$17:T22)+1)</f>
      </c>
      <c r="U23" s="384"/>
      <c r="V23" s="414">
        <f t="shared" si="2"/>
        <v>1</v>
      </c>
      <c r="W23" s="384"/>
      <c r="X23" s="409" t="b">
        <f t="shared" si="1"/>
        <v>0</v>
      </c>
      <c r="Y23" s="384"/>
      <c r="Z23" s="409" t="b">
        <f t="shared" si="3"/>
        <v>0</v>
      </c>
      <c r="AA23" s="384"/>
    </row>
    <row r="24" spans="1:27" s="483" customFormat="1" ht="12.75" customHeight="1">
      <c r="A24" s="4"/>
      <c r="B24" s="5"/>
      <c r="C24" s="29">
        <v>7</v>
      </c>
      <c r="D24" s="801"/>
      <c r="E24" s="818"/>
      <c r="F24" s="802"/>
      <c r="G24" s="312"/>
      <c r="H24" s="312"/>
      <c r="I24" s="312"/>
      <c r="J24" s="312"/>
      <c r="K24" s="312"/>
      <c r="L24" s="312"/>
      <c r="M24" s="312"/>
      <c r="N24" s="312"/>
      <c r="O24" s="288"/>
      <c r="P24" s="9"/>
      <c r="Q24" s="412" t="str">
        <f t="shared" si="0"/>
        <v>FInitial_1_</v>
      </c>
      <c r="R24" s="384"/>
      <c r="S24" s="384"/>
      <c r="T24" s="414">
        <f>IF(OR(D24="",COUNTIF($D$17:D24,D24)&gt;1),"",MAX($T$17:T23)+1)</f>
      </c>
      <c r="U24" s="384"/>
      <c r="V24" s="414">
        <f t="shared" si="2"/>
        <v>1</v>
      </c>
      <c r="W24" s="384"/>
      <c r="X24" s="409" t="b">
        <f t="shared" si="1"/>
        <v>0</v>
      </c>
      <c r="Y24" s="384"/>
      <c r="Z24" s="409" t="b">
        <f t="shared" si="3"/>
        <v>0</v>
      </c>
      <c r="AA24" s="384"/>
    </row>
    <row r="25" spans="1:27" s="483" customFormat="1" ht="12.75" customHeight="1">
      <c r="A25" s="4"/>
      <c r="B25" s="5"/>
      <c r="C25" s="29">
        <v>8</v>
      </c>
      <c r="D25" s="801"/>
      <c r="E25" s="818"/>
      <c r="F25" s="802"/>
      <c r="G25" s="312"/>
      <c r="H25" s="312"/>
      <c r="I25" s="312"/>
      <c r="J25" s="312"/>
      <c r="K25" s="312"/>
      <c r="L25" s="312"/>
      <c r="M25" s="312"/>
      <c r="N25" s="312"/>
      <c r="O25" s="288"/>
      <c r="P25" s="9"/>
      <c r="Q25" s="412" t="str">
        <f t="shared" si="0"/>
        <v>FInitial_1_</v>
      </c>
      <c r="R25" s="384"/>
      <c r="S25" s="384"/>
      <c r="T25" s="414">
        <f>IF(OR(D25="",COUNTIF($D$17:D25,D25)&gt;1),"",MAX($T$17:T24)+1)</f>
      </c>
      <c r="U25" s="384"/>
      <c r="V25" s="414">
        <f t="shared" si="2"/>
        <v>1</v>
      </c>
      <c r="W25" s="384"/>
      <c r="X25" s="409" t="b">
        <f t="shared" si="1"/>
        <v>0</v>
      </c>
      <c r="Y25" s="384"/>
      <c r="Z25" s="409" t="b">
        <f t="shared" si="3"/>
        <v>0</v>
      </c>
      <c r="AA25" s="384"/>
    </row>
    <row r="26" spans="1:27" s="483" customFormat="1" ht="12.75" customHeight="1">
      <c r="A26" s="4"/>
      <c r="B26" s="5"/>
      <c r="C26" s="29">
        <v>9</v>
      </c>
      <c r="D26" s="801"/>
      <c r="E26" s="818"/>
      <c r="F26" s="802"/>
      <c r="G26" s="312"/>
      <c r="H26" s="312"/>
      <c r="I26" s="312"/>
      <c r="J26" s="312"/>
      <c r="K26" s="312"/>
      <c r="L26" s="312"/>
      <c r="M26" s="312"/>
      <c r="N26" s="312"/>
      <c r="O26" s="288"/>
      <c r="P26" s="9"/>
      <c r="Q26" s="412" t="str">
        <f t="shared" si="0"/>
        <v>FInitial_1_</v>
      </c>
      <c r="R26" s="384"/>
      <c r="S26" s="384"/>
      <c r="T26" s="414">
        <f>IF(OR(D26="",COUNTIF($D$17:D26,D26)&gt;1),"",MAX($T$17:T25)+1)</f>
      </c>
      <c r="U26" s="384"/>
      <c r="V26" s="414">
        <f t="shared" si="2"/>
        <v>1</v>
      </c>
      <c r="W26" s="384"/>
      <c r="X26" s="409" t="b">
        <f t="shared" si="1"/>
        <v>0</v>
      </c>
      <c r="Y26" s="384"/>
      <c r="Z26" s="409" t="b">
        <f t="shared" si="3"/>
        <v>0</v>
      </c>
      <c r="AA26" s="384"/>
    </row>
    <row r="27" spans="1:27" s="483" customFormat="1" ht="12.75" customHeight="1" thickBot="1">
      <c r="A27" s="4"/>
      <c r="B27" s="5"/>
      <c r="C27" s="25">
        <v>10</v>
      </c>
      <c r="D27" s="824"/>
      <c r="E27" s="825"/>
      <c r="F27" s="826"/>
      <c r="G27" s="187"/>
      <c r="H27" s="187"/>
      <c r="I27" s="187"/>
      <c r="J27" s="187"/>
      <c r="K27" s="187"/>
      <c r="L27" s="187"/>
      <c r="M27" s="187"/>
      <c r="N27" s="187"/>
      <c r="O27" s="288"/>
      <c r="P27" s="9"/>
      <c r="Q27" s="412" t="str">
        <f t="shared" si="0"/>
        <v>FInitial_1_</v>
      </c>
      <c r="R27" s="384"/>
      <c r="S27" s="384"/>
      <c r="T27" s="415">
        <f>IF(OR(D27="",COUNTIF($D$17:D27,D27)&gt;1),"",MAX($T$17:T26)+1)</f>
      </c>
      <c r="U27" s="384"/>
      <c r="V27" s="414">
        <f t="shared" si="2"/>
        <v>1</v>
      </c>
      <c r="W27" s="384"/>
      <c r="X27" s="409" t="b">
        <f t="shared" si="1"/>
        <v>0</v>
      </c>
      <c r="Y27" s="384"/>
      <c r="Z27" s="409" t="b">
        <f t="shared" si="3"/>
        <v>0</v>
      </c>
      <c r="AA27" s="384"/>
    </row>
    <row r="28" spans="1:27" s="483" customFormat="1" ht="40.5" customHeight="1">
      <c r="A28" s="4"/>
      <c r="B28" s="5"/>
      <c r="C28" s="29">
        <v>11</v>
      </c>
      <c r="D28" s="883" t="str">
        <f aca="true" t="shared" si="4" ref="D28:D33">INDEX(EUconst_FallBackListNames,C28-10)</f>
        <v>Подинсталация с топлинен показател, с риск от изтичане на въглерод</v>
      </c>
      <c r="E28" s="884"/>
      <c r="F28" s="885"/>
      <c r="G28" s="313"/>
      <c r="H28" s="313"/>
      <c r="I28" s="313"/>
      <c r="J28" s="313"/>
      <c r="K28" s="313"/>
      <c r="L28" s="313"/>
      <c r="M28" s="313"/>
      <c r="N28" s="313"/>
      <c r="O28" s="288"/>
      <c r="P28" s="9"/>
      <c r="Q28" s="412" t="str">
        <f t="shared" si="0"/>
        <v>FInitial_1_Подинсталация с топлинен показател, с риск от изтичане на въглерод</v>
      </c>
      <c r="R28" s="384"/>
      <c r="S28" s="384"/>
      <c r="T28" s="384"/>
      <c r="U28" s="384"/>
      <c r="V28" s="414">
        <f t="shared" si="2"/>
        <v>1</v>
      </c>
      <c r="W28" s="384"/>
      <c r="X28" s="409" t="b">
        <f t="shared" si="1"/>
        <v>0</v>
      </c>
      <c r="Y28" s="384"/>
      <c r="Z28" s="409" t="b">
        <f t="shared" si="3"/>
        <v>0</v>
      </c>
      <c r="AA28" s="384"/>
    </row>
    <row r="29" spans="1:27" s="606" customFormat="1" ht="39.75" customHeight="1">
      <c r="A29" s="599"/>
      <c r="B29" s="337"/>
      <c r="C29" s="600">
        <v>12</v>
      </c>
      <c r="D29" s="886" t="str">
        <f t="shared" si="4"/>
        <v>Подинсталация с топлинен показател, без риск от изтичане на въглерод</v>
      </c>
      <c r="E29" s="887"/>
      <c r="F29" s="888"/>
      <c r="G29" s="601"/>
      <c r="H29" s="601"/>
      <c r="I29" s="601"/>
      <c r="J29" s="601"/>
      <c r="K29" s="601"/>
      <c r="L29" s="601"/>
      <c r="M29" s="601"/>
      <c r="N29" s="601"/>
      <c r="O29" s="360"/>
      <c r="P29" s="373"/>
      <c r="Q29" s="602" t="str">
        <f t="shared" si="0"/>
        <v>FInitial_1_Подинсталация с топлинен показател, без риск от изтичане на въглерод</v>
      </c>
      <c r="R29" s="603"/>
      <c r="S29" s="603"/>
      <c r="T29" s="603"/>
      <c r="U29" s="603"/>
      <c r="V29" s="604">
        <f t="shared" si="2"/>
        <v>1</v>
      </c>
      <c r="W29" s="603"/>
      <c r="X29" s="605" t="b">
        <f t="shared" si="1"/>
        <v>0</v>
      </c>
      <c r="Y29" s="603"/>
      <c r="Z29" s="605" t="b">
        <f t="shared" si="3"/>
        <v>0</v>
      </c>
      <c r="AA29" s="603"/>
    </row>
    <row r="30" spans="1:27" s="606" customFormat="1" ht="39.75" customHeight="1">
      <c r="A30" s="599"/>
      <c r="B30" s="337"/>
      <c r="C30" s="600">
        <v>13</v>
      </c>
      <c r="D30" s="886" t="str">
        <f t="shared" si="4"/>
        <v>Подинсталация с горивен показател, с риск от изтичане на въглерод</v>
      </c>
      <c r="E30" s="887"/>
      <c r="F30" s="888"/>
      <c r="G30" s="601"/>
      <c r="H30" s="601"/>
      <c r="I30" s="601"/>
      <c r="J30" s="601"/>
      <c r="K30" s="601"/>
      <c r="L30" s="601"/>
      <c r="M30" s="601"/>
      <c r="N30" s="601"/>
      <c r="O30" s="360"/>
      <c r="P30" s="373"/>
      <c r="Q30" s="602" t="str">
        <f t="shared" si="0"/>
        <v>FInitial_1_Подинсталация с горивен показател, с риск от изтичане на въглерод</v>
      </c>
      <c r="R30" s="603"/>
      <c r="S30" s="603"/>
      <c r="T30" s="603"/>
      <c r="U30" s="603"/>
      <c r="V30" s="604">
        <f t="shared" si="2"/>
        <v>1</v>
      </c>
      <c r="W30" s="603"/>
      <c r="X30" s="605" t="b">
        <f t="shared" si="1"/>
        <v>0</v>
      </c>
      <c r="Y30" s="603"/>
      <c r="Z30" s="605" t="b">
        <f t="shared" si="3"/>
        <v>0</v>
      </c>
      <c r="AA30" s="603"/>
    </row>
    <row r="31" spans="1:27" s="606" customFormat="1" ht="39.75" customHeight="1">
      <c r="A31" s="599"/>
      <c r="B31" s="337"/>
      <c r="C31" s="600">
        <v>14</v>
      </c>
      <c r="D31" s="886" t="str">
        <f t="shared" si="4"/>
        <v>Подинсталация с горивен показател, без риск от изтичане на въглерод</v>
      </c>
      <c r="E31" s="887"/>
      <c r="F31" s="888"/>
      <c r="G31" s="601"/>
      <c r="H31" s="601"/>
      <c r="I31" s="601"/>
      <c r="J31" s="601"/>
      <c r="K31" s="601"/>
      <c r="L31" s="601"/>
      <c r="M31" s="601"/>
      <c r="N31" s="601"/>
      <c r="O31" s="360"/>
      <c r="P31" s="373"/>
      <c r="Q31" s="602" t="str">
        <f t="shared" si="0"/>
        <v>FInitial_1_Подинсталация с горивен показател, без риск от изтичане на въглерод</v>
      </c>
      <c r="R31" s="603"/>
      <c r="S31" s="603"/>
      <c r="T31" s="603"/>
      <c r="U31" s="603"/>
      <c r="V31" s="604">
        <f t="shared" si="2"/>
        <v>1</v>
      </c>
      <c r="W31" s="603"/>
      <c r="X31" s="605" t="b">
        <f t="shared" si="1"/>
        <v>0</v>
      </c>
      <c r="Y31" s="603"/>
      <c r="Z31" s="605" t="b">
        <f t="shared" si="3"/>
        <v>0</v>
      </c>
      <c r="AA31" s="603"/>
    </row>
    <row r="32" spans="1:27" s="606" customFormat="1" ht="39.75" customHeight="1">
      <c r="A32" s="599"/>
      <c r="B32" s="337"/>
      <c r="C32" s="600">
        <v>15</v>
      </c>
      <c r="D32" s="886" t="str">
        <f t="shared" si="4"/>
        <v>Подинсталация с технологични емисии, с риск от изтичане на въглерод</v>
      </c>
      <c r="E32" s="887"/>
      <c r="F32" s="888"/>
      <c r="G32" s="601"/>
      <c r="H32" s="601"/>
      <c r="I32" s="601"/>
      <c r="J32" s="601"/>
      <c r="K32" s="601"/>
      <c r="L32" s="601"/>
      <c r="M32" s="601"/>
      <c r="N32" s="601"/>
      <c r="O32" s="360"/>
      <c r="P32" s="373"/>
      <c r="Q32" s="602" t="str">
        <f t="shared" si="0"/>
        <v>FInitial_1_Подинсталация с технологични емисии, с риск от изтичане на въглерод</v>
      </c>
      <c r="R32" s="603"/>
      <c r="S32" s="603"/>
      <c r="T32" s="603"/>
      <c r="U32" s="603"/>
      <c r="V32" s="604">
        <f t="shared" si="2"/>
        <v>1</v>
      </c>
      <c r="W32" s="603"/>
      <c r="X32" s="605" t="b">
        <f t="shared" si="1"/>
        <v>0</v>
      </c>
      <c r="Y32" s="603"/>
      <c r="Z32" s="605" t="b">
        <f t="shared" si="3"/>
        <v>0</v>
      </c>
      <c r="AA32" s="603"/>
    </row>
    <row r="33" spans="1:27" s="606" customFormat="1" ht="39.75" customHeight="1">
      <c r="A33" s="599"/>
      <c r="B33" s="337"/>
      <c r="C33" s="600">
        <v>16</v>
      </c>
      <c r="D33" s="880" t="str">
        <f t="shared" si="4"/>
        <v>Подинсталация с технологични емисии, без риск от изтичане на въглерод</v>
      </c>
      <c r="E33" s="881"/>
      <c r="F33" s="882"/>
      <c r="G33" s="607"/>
      <c r="H33" s="607"/>
      <c r="I33" s="607"/>
      <c r="J33" s="607"/>
      <c r="K33" s="607"/>
      <c r="L33" s="607"/>
      <c r="M33" s="607"/>
      <c r="N33" s="607"/>
      <c r="O33" s="360"/>
      <c r="P33" s="373"/>
      <c r="Q33" s="602" t="str">
        <f t="shared" si="0"/>
        <v>FInitial_1_Подинсталация с технологични емисии, без риск от изтичане на въглерод</v>
      </c>
      <c r="R33" s="603"/>
      <c r="S33" s="603"/>
      <c r="T33" s="603"/>
      <c r="U33" s="603"/>
      <c r="V33" s="604">
        <f t="shared" si="2"/>
        <v>1</v>
      </c>
      <c r="W33" s="603"/>
      <c r="X33" s="605" t="b">
        <f t="shared" si="1"/>
        <v>0</v>
      </c>
      <c r="Y33" s="603"/>
      <c r="Z33" s="605" t="b">
        <f t="shared" si="3"/>
        <v>0</v>
      </c>
      <c r="AA33" s="603"/>
    </row>
    <row r="34" spans="1:27" s="483" customFormat="1" ht="12.75" customHeight="1" thickBot="1">
      <c r="A34" s="4"/>
      <c r="B34" s="5"/>
      <c r="C34" s="374">
        <v>17</v>
      </c>
      <c r="D34" s="892" t="str">
        <f>EUconst_PrivateHouseholds</f>
        <v>За частни жилища</v>
      </c>
      <c r="E34" s="893"/>
      <c r="F34" s="894"/>
      <c r="G34" s="376"/>
      <c r="H34" s="376"/>
      <c r="I34" s="376"/>
      <c r="J34" s="376"/>
      <c r="K34" s="376"/>
      <c r="L34" s="376"/>
      <c r="M34" s="376"/>
      <c r="N34" s="376"/>
      <c r="O34" s="288"/>
      <c r="P34" s="9"/>
      <c r="Q34" s="412" t="str">
        <f t="shared" si="0"/>
        <v>FInitial_1_За частни жилища</v>
      </c>
      <c r="R34" s="384"/>
      <c r="S34" s="384"/>
      <c r="T34" s="384"/>
      <c r="U34" s="384"/>
      <c r="V34" s="415">
        <f t="shared" si="2"/>
        <v>1</v>
      </c>
      <c r="W34" s="384"/>
      <c r="X34" s="409" t="b">
        <f t="shared" si="1"/>
        <v>0</v>
      </c>
      <c r="Y34" s="384"/>
      <c r="Z34" s="409" t="b">
        <f t="shared" si="3"/>
        <v>0</v>
      </c>
      <c r="AA34" s="384"/>
    </row>
    <row r="35" spans="1:27" s="483" customFormat="1" ht="26.25" customHeight="1">
      <c r="A35" s="4"/>
      <c r="B35" s="5"/>
      <c r="C35" s="18"/>
      <c r="D35" s="895" t="str">
        <f>EUconst_TotFreeAlloc</f>
        <v>Окончателно общо безплатно отпуснато количество квоти</v>
      </c>
      <c r="E35" s="896"/>
      <c r="F35" s="897"/>
      <c r="G35" s="212">
        <f aca="true" t="shared" si="5" ref="G35:N35">IF(COUNT(G17:G34)&gt;0,SUM(G17:G34),"")</f>
      </c>
      <c r="H35" s="212">
        <f t="shared" si="5"/>
      </c>
      <c r="I35" s="212">
        <f t="shared" si="5"/>
      </c>
      <c r="J35" s="212">
        <f t="shared" si="5"/>
      </c>
      <c r="K35" s="212">
        <f t="shared" si="5"/>
      </c>
      <c r="L35" s="212">
        <f t="shared" si="5"/>
      </c>
      <c r="M35" s="212">
        <f t="shared" si="5"/>
      </c>
      <c r="N35" s="212">
        <f t="shared" si="5"/>
      </c>
      <c r="O35" s="288"/>
      <c r="P35" s="9"/>
      <c r="Q35" s="402"/>
      <c r="R35" s="384"/>
      <c r="S35" s="384"/>
      <c r="T35" s="384"/>
      <c r="U35" s="384"/>
      <c r="V35" s="384"/>
      <c r="W35" s="384"/>
      <c r="X35" s="384"/>
      <c r="Y35" s="384"/>
      <c r="Z35" s="409" t="b">
        <f t="shared" si="3"/>
        <v>0</v>
      </c>
      <c r="AA35" s="384"/>
    </row>
    <row r="36" spans="1:27" s="483" customFormat="1" ht="12.75" customHeight="1">
      <c r="A36" s="4"/>
      <c r="B36" s="5"/>
      <c r="C36" s="7"/>
      <c r="D36" s="5"/>
      <c r="E36" s="5"/>
      <c r="F36" s="5"/>
      <c r="G36" s="5"/>
      <c r="H36" s="5"/>
      <c r="I36" s="5"/>
      <c r="J36" s="5"/>
      <c r="K36" s="5"/>
      <c r="L36" s="5"/>
      <c r="M36" s="9"/>
      <c r="N36" s="9"/>
      <c r="O36" s="280"/>
      <c r="P36" s="9"/>
      <c r="Q36" s="402"/>
      <c r="R36" s="384"/>
      <c r="S36" s="384"/>
      <c r="T36" s="384"/>
      <c r="U36" s="384"/>
      <c r="V36" s="384"/>
      <c r="W36" s="384"/>
      <c r="X36" s="384"/>
      <c r="Y36" s="384"/>
      <c r="Z36" s="384"/>
      <c r="AA36" s="384"/>
    </row>
    <row r="37" spans="1:27" s="483" customFormat="1" ht="30" customHeight="1">
      <c r="A37" s="4"/>
      <c r="B37" s="5"/>
      <c r="C37" s="5"/>
      <c r="D37" s="193" t="s">
        <v>243</v>
      </c>
      <c r="E37" s="689" t="str">
        <f>Translations!$B$595</f>
        <v>Най-ново окончателно разпределено количество квоти с отчитане на корекционни коефициенти за евентуални частични спирания на дейности</v>
      </c>
      <c r="F37" s="688"/>
      <c r="G37" s="688"/>
      <c r="H37" s="688"/>
      <c r="I37" s="688"/>
      <c r="J37" s="688"/>
      <c r="K37" s="688"/>
      <c r="L37" s="688"/>
      <c r="M37" s="688"/>
      <c r="N37" s="688"/>
      <c r="O37" s="282"/>
      <c r="P37" s="342"/>
      <c r="Q37" s="402"/>
      <c r="R37" s="384"/>
      <c r="S37" s="384"/>
      <c r="T37" s="384"/>
      <c r="U37" s="384"/>
      <c r="V37" s="384"/>
      <c r="W37" s="384"/>
      <c r="X37" s="384"/>
      <c r="Y37" s="384"/>
      <c r="Z37" s="384"/>
      <c r="AA37" s="384"/>
    </row>
    <row r="38" spans="1:27" s="483" customFormat="1" ht="24.75" customHeight="1">
      <c r="A38" s="4"/>
      <c r="B38" s="5"/>
      <c r="C38" s="5"/>
      <c r="D38" s="193"/>
      <c r="E38" s="742" t="str">
        <f>Translations!$B$596</f>
        <v>Моля въведете тук най-новото окончателно количество на безплатно предоставени квоти, с отчитане  на корекционни коефициенти по член 23 от CIMs (Решение2011/278/ЕС) .</v>
      </c>
      <c r="F38" s="667"/>
      <c r="G38" s="667"/>
      <c r="H38" s="667"/>
      <c r="I38" s="667"/>
      <c r="J38" s="667"/>
      <c r="K38" s="667"/>
      <c r="L38" s="667"/>
      <c r="M38" s="667"/>
      <c r="N38" s="667"/>
      <c r="O38" s="282"/>
      <c r="P38" s="288"/>
      <c r="Q38" s="402"/>
      <c r="R38" s="384"/>
      <c r="S38" s="384"/>
      <c r="T38" s="384"/>
      <c r="U38" s="384"/>
      <c r="V38" s="384"/>
      <c r="W38" s="384"/>
      <c r="X38" s="384"/>
      <c r="Y38" s="384"/>
      <c r="Z38" s="384"/>
      <c r="AA38" s="384"/>
    </row>
    <row r="39" spans="1:27" s="483" customFormat="1" ht="4.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9"/>
      <c r="N39" s="9"/>
      <c r="O39" s="288"/>
      <c r="P39" s="9"/>
      <c r="Q39" s="402"/>
      <c r="R39" s="402"/>
      <c r="S39" s="402"/>
      <c r="T39" s="402"/>
      <c r="U39" s="402"/>
      <c r="V39" s="402"/>
      <c r="W39" s="402"/>
      <c r="X39" s="402"/>
      <c r="Y39" s="384"/>
      <c r="Z39" s="384"/>
      <c r="AA39" s="384"/>
    </row>
    <row r="40" spans="1:27" s="483" customFormat="1" ht="12.75" customHeight="1">
      <c r="A40" s="4"/>
      <c r="B40" s="5"/>
      <c r="C40" s="20"/>
      <c r="D40" s="803" t="str">
        <f>Translations!$B$402</f>
        <v>Подинсталация</v>
      </c>
      <c r="E40" s="842"/>
      <c r="F40" s="914"/>
      <c r="G40" s="211">
        <v>2013</v>
      </c>
      <c r="H40" s="211">
        <v>2014</v>
      </c>
      <c r="I40" s="211">
        <v>2015</v>
      </c>
      <c r="J40" s="211">
        <v>2016</v>
      </c>
      <c r="K40" s="211">
        <v>2017</v>
      </c>
      <c r="L40" s="211">
        <v>2018</v>
      </c>
      <c r="M40" s="211">
        <v>2019</v>
      </c>
      <c r="N40" s="211">
        <v>2020</v>
      </c>
      <c r="O40" s="288"/>
      <c r="P40" s="286"/>
      <c r="Q40" s="402"/>
      <c r="R40" s="384"/>
      <c r="S40" s="384"/>
      <c r="T40" s="384"/>
      <c r="U40" s="119" t="s">
        <v>524</v>
      </c>
      <c r="V40" s="119" t="s">
        <v>521</v>
      </c>
      <c r="W40" s="10" t="s">
        <v>525</v>
      </c>
      <c r="X40" s="402" t="s">
        <v>555</v>
      </c>
      <c r="Y40" s="402" t="str">
        <f>EUconst_Unit</f>
        <v>Единица мярка</v>
      </c>
      <c r="Z40" s="408" t="s">
        <v>293</v>
      </c>
      <c r="AA40" s="384"/>
    </row>
    <row r="41" spans="1:27" s="483" customFormat="1" ht="12.75" customHeight="1" thickBot="1">
      <c r="A41" s="4"/>
      <c r="B41" s="5"/>
      <c r="C41" s="210">
        <v>0</v>
      </c>
      <c r="D41" s="892" t="str">
        <f>Translations!$B$501</f>
        <v>Етап преди започване</v>
      </c>
      <c r="E41" s="893"/>
      <c r="F41" s="894"/>
      <c r="G41" s="475"/>
      <c r="H41" s="475"/>
      <c r="I41" s="475"/>
      <c r="J41" s="475"/>
      <c r="K41" s="475"/>
      <c r="L41" s="475"/>
      <c r="M41" s="475"/>
      <c r="N41" s="475"/>
      <c r="O41" s="288"/>
      <c r="P41" s="286"/>
      <c r="Q41" s="402"/>
      <c r="R41" s="384"/>
      <c r="S41" s="384"/>
      <c r="T41" s="384"/>
      <c r="U41" s="412">
        <f>""</f>
      </c>
      <c r="V41" s="412"/>
      <c r="W41" s="412"/>
      <c r="X41" s="412"/>
      <c r="Y41" s="412"/>
      <c r="Z41" s="409" t="b">
        <f>Z35</f>
        <v>0</v>
      </c>
      <c r="AA41" s="384"/>
    </row>
    <row r="42" spans="1:27" s="483" customFormat="1" ht="12.75" customHeight="1">
      <c r="A42" s="4"/>
      <c r="B42" s="5"/>
      <c r="C42" s="29">
        <v>1</v>
      </c>
      <c r="D42" s="902">
        <f aca="true" t="shared" si="6" ref="D42:D51">IF(D18="","",D18)</f>
      </c>
      <c r="E42" s="903"/>
      <c r="F42" s="904"/>
      <c r="G42" s="313"/>
      <c r="H42" s="313"/>
      <c r="I42" s="313"/>
      <c r="J42" s="313"/>
      <c r="K42" s="313"/>
      <c r="L42" s="313"/>
      <c r="M42" s="313"/>
      <c r="N42" s="313"/>
      <c r="O42" s="288"/>
      <c r="P42" s="286"/>
      <c r="Q42" s="402"/>
      <c r="R42" s="384"/>
      <c r="S42" s="384"/>
      <c r="T42" s="384"/>
      <c r="U42" s="412">
        <f aca="true" t="shared" si="7" ref="U42:U51">IF(D42="","",INDEX(EUconst_BMlistCLstatus,MATCH(D42,EUconst_BMlistNames,0)))</f>
      </c>
      <c r="V42" s="412">
        <f aca="true" t="shared" si="8" ref="V42:V51">IF(D42="","",INDEX(EUconst_BMlistNumberOfBM,MATCH(D42,EUconst_BMlistNames,0)))</f>
      </c>
      <c r="W42" s="412">
        <f aca="true" t="shared" si="9" ref="W42:W51">IF(D42="","",INDEX(EUconst_BMlistBMvalues,MATCH(D42,EUconst_BMlistNames,0)))</f>
      </c>
      <c r="X42" s="412">
        <f aca="true" t="shared" si="10" ref="X42:X51">IF(D42="","",EUconst_EUA&amp;" / "&amp;Y42)</f>
      </c>
      <c r="Y42" s="412">
        <f aca="true" t="shared" si="11" ref="Y42:Y51">IF(D42="","",INDEX(EUconst_BMlistUnits,MATCH(D42,EUconst_BMlistNames,0)))</f>
      </c>
      <c r="Z42" s="409" t="b">
        <f aca="true" t="shared" si="12" ref="Z42:Z59">Z41</f>
        <v>0</v>
      </c>
      <c r="AA42" s="384"/>
    </row>
    <row r="43" spans="1:27" s="483" customFormat="1" ht="12.75" customHeight="1">
      <c r="A43" s="4"/>
      <c r="B43" s="5"/>
      <c r="C43" s="29">
        <v>2</v>
      </c>
      <c r="D43" s="877">
        <f t="shared" si="6"/>
      </c>
      <c r="E43" s="878"/>
      <c r="F43" s="879"/>
      <c r="G43" s="312"/>
      <c r="H43" s="312"/>
      <c r="I43" s="312"/>
      <c r="J43" s="312"/>
      <c r="K43" s="312"/>
      <c r="L43" s="312"/>
      <c r="M43" s="312"/>
      <c r="N43" s="312"/>
      <c r="O43" s="288"/>
      <c r="P43" s="286"/>
      <c r="Q43" s="402"/>
      <c r="R43" s="384"/>
      <c r="S43" s="384"/>
      <c r="T43" s="384"/>
      <c r="U43" s="412">
        <f t="shared" si="7"/>
      </c>
      <c r="V43" s="412">
        <f t="shared" si="8"/>
      </c>
      <c r="W43" s="412">
        <f t="shared" si="9"/>
      </c>
      <c r="X43" s="412">
        <f t="shared" si="10"/>
      </c>
      <c r="Y43" s="412">
        <f t="shared" si="11"/>
      </c>
      <c r="Z43" s="409" t="b">
        <f t="shared" si="12"/>
        <v>0</v>
      </c>
      <c r="AA43" s="384"/>
    </row>
    <row r="44" spans="1:27" s="483" customFormat="1" ht="12.75" customHeight="1">
      <c r="A44" s="4"/>
      <c r="B44" s="5"/>
      <c r="C44" s="29">
        <v>3</v>
      </c>
      <c r="D44" s="877">
        <f t="shared" si="6"/>
      </c>
      <c r="E44" s="878"/>
      <c r="F44" s="879"/>
      <c r="G44" s="312"/>
      <c r="H44" s="312"/>
      <c r="I44" s="312"/>
      <c r="J44" s="312"/>
      <c r="K44" s="312"/>
      <c r="L44" s="312"/>
      <c r="M44" s="312"/>
      <c r="N44" s="312"/>
      <c r="O44" s="288"/>
      <c r="P44" s="286"/>
      <c r="Q44" s="402"/>
      <c r="R44" s="384"/>
      <c r="S44" s="384"/>
      <c r="T44" s="384"/>
      <c r="U44" s="412">
        <f t="shared" si="7"/>
      </c>
      <c r="V44" s="412">
        <f t="shared" si="8"/>
      </c>
      <c r="W44" s="412">
        <f t="shared" si="9"/>
      </c>
      <c r="X44" s="412">
        <f t="shared" si="10"/>
      </c>
      <c r="Y44" s="412">
        <f t="shared" si="11"/>
      </c>
      <c r="Z44" s="409" t="b">
        <f t="shared" si="12"/>
        <v>0</v>
      </c>
      <c r="AA44" s="384"/>
    </row>
    <row r="45" spans="1:27" s="483" customFormat="1" ht="12.75" customHeight="1">
      <c r="A45" s="4"/>
      <c r="B45" s="5"/>
      <c r="C45" s="29">
        <v>4</v>
      </c>
      <c r="D45" s="877">
        <f t="shared" si="6"/>
      </c>
      <c r="E45" s="878"/>
      <c r="F45" s="879"/>
      <c r="G45" s="312"/>
      <c r="H45" s="312"/>
      <c r="I45" s="312"/>
      <c r="J45" s="312"/>
      <c r="K45" s="312"/>
      <c r="L45" s="312"/>
      <c r="M45" s="312"/>
      <c r="N45" s="312"/>
      <c r="O45" s="288"/>
      <c r="P45" s="286"/>
      <c r="Q45" s="402"/>
      <c r="R45" s="384"/>
      <c r="S45" s="384"/>
      <c r="T45" s="384"/>
      <c r="U45" s="412">
        <f t="shared" si="7"/>
      </c>
      <c r="V45" s="412">
        <f t="shared" si="8"/>
      </c>
      <c r="W45" s="412">
        <f t="shared" si="9"/>
      </c>
      <c r="X45" s="412">
        <f t="shared" si="10"/>
      </c>
      <c r="Y45" s="412">
        <f t="shared" si="11"/>
      </c>
      <c r="Z45" s="409" t="b">
        <f t="shared" si="12"/>
        <v>0</v>
      </c>
      <c r="AA45" s="384"/>
    </row>
    <row r="46" spans="1:27" s="483" customFormat="1" ht="12.75" customHeight="1">
      <c r="A46" s="4"/>
      <c r="B46" s="5"/>
      <c r="C46" s="29">
        <v>5</v>
      </c>
      <c r="D46" s="877">
        <f t="shared" si="6"/>
      </c>
      <c r="E46" s="878"/>
      <c r="F46" s="879"/>
      <c r="G46" s="312"/>
      <c r="H46" s="312"/>
      <c r="I46" s="312"/>
      <c r="J46" s="312"/>
      <c r="K46" s="312"/>
      <c r="L46" s="312"/>
      <c r="M46" s="312"/>
      <c r="N46" s="312"/>
      <c r="O46" s="288"/>
      <c r="P46" s="286"/>
      <c r="Q46" s="402"/>
      <c r="R46" s="384"/>
      <c r="S46" s="384"/>
      <c r="T46" s="384"/>
      <c r="U46" s="412">
        <f t="shared" si="7"/>
      </c>
      <c r="V46" s="412">
        <f t="shared" si="8"/>
      </c>
      <c r="W46" s="412">
        <f t="shared" si="9"/>
      </c>
      <c r="X46" s="412">
        <f t="shared" si="10"/>
      </c>
      <c r="Y46" s="412">
        <f t="shared" si="11"/>
      </c>
      <c r="Z46" s="409" t="b">
        <f t="shared" si="12"/>
        <v>0</v>
      </c>
      <c r="AA46" s="384"/>
    </row>
    <row r="47" spans="1:27" s="483" customFormat="1" ht="12.75" customHeight="1">
      <c r="A47" s="4"/>
      <c r="B47" s="5"/>
      <c r="C47" s="29">
        <v>6</v>
      </c>
      <c r="D47" s="877">
        <f t="shared" si="6"/>
      </c>
      <c r="E47" s="878"/>
      <c r="F47" s="879"/>
      <c r="G47" s="312"/>
      <c r="H47" s="312"/>
      <c r="I47" s="312"/>
      <c r="J47" s="312"/>
      <c r="K47" s="312"/>
      <c r="L47" s="312"/>
      <c r="M47" s="312"/>
      <c r="N47" s="312"/>
      <c r="O47" s="288"/>
      <c r="P47" s="9"/>
      <c r="Q47" s="402"/>
      <c r="R47" s="384"/>
      <c r="S47" s="384"/>
      <c r="T47" s="384"/>
      <c r="U47" s="412">
        <f t="shared" si="7"/>
      </c>
      <c r="V47" s="412">
        <f t="shared" si="8"/>
      </c>
      <c r="W47" s="412">
        <f t="shared" si="9"/>
      </c>
      <c r="X47" s="412">
        <f t="shared" si="10"/>
      </c>
      <c r="Y47" s="412">
        <f t="shared" si="11"/>
      </c>
      <c r="Z47" s="409" t="b">
        <f t="shared" si="12"/>
        <v>0</v>
      </c>
      <c r="AA47" s="384"/>
    </row>
    <row r="48" spans="1:27" s="483" customFormat="1" ht="12.75" customHeight="1">
      <c r="A48" s="4"/>
      <c r="B48" s="5"/>
      <c r="C48" s="29">
        <v>7</v>
      </c>
      <c r="D48" s="877">
        <f t="shared" si="6"/>
      </c>
      <c r="E48" s="878"/>
      <c r="F48" s="879"/>
      <c r="G48" s="312"/>
      <c r="H48" s="312"/>
      <c r="I48" s="312"/>
      <c r="J48" s="312"/>
      <c r="K48" s="312"/>
      <c r="L48" s="312"/>
      <c r="M48" s="312"/>
      <c r="N48" s="312"/>
      <c r="O48" s="288"/>
      <c r="P48" s="9"/>
      <c r="Q48" s="402"/>
      <c r="R48" s="384"/>
      <c r="S48" s="384"/>
      <c r="T48" s="384"/>
      <c r="U48" s="412">
        <f t="shared" si="7"/>
      </c>
      <c r="V48" s="412">
        <f t="shared" si="8"/>
      </c>
      <c r="W48" s="412">
        <f t="shared" si="9"/>
      </c>
      <c r="X48" s="412">
        <f t="shared" si="10"/>
      </c>
      <c r="Y48" s="412">
        <f t="shared" si="11"/>
      </c>
      <c r="Z48" s="409" t="b">
        <f t="shared" si="12"/>
        <v>0</v>
      </c>
      <c r="AA48" s="384"/>
    </row>
    <row r="49" spans="1:27" s="483" customFormat="1" ht="12.75" customHeight="1">
      <c r="A49" s="4"/>
      <c r="B49" s="5"/>
      <c r="C49" s="29">
        <v>8</v>
      </c>
      <c r="D49" s="877">
        <f t="shared" si="6"/>
      </c>
      <c r="E49" s="878"/>
      <c r="F49" s="879"/>
      <c r="G49" s="312"/>
      <c r="H49" s="312"/>
      <c r="I49" s="312"/>
      <c r="J49" s="312"/>
      <c r="K49" s="312"/>
      <c r="L49" s="312"/>
      <c r="M49" s="312"/>
      <c r="N49" s="312"/>
      <c r="O49" s="288"/>
      <c r="P49" s="9"/>
      <c r="Q49" s="402"/>
      <c r="R49" s="384"/>
      <c r="S49" s="384"/>
      <c r="T49" s="384"/>
      <c r="U49" s="412">
        <f t="shared" si="7"/>
      </c>
      <c r="V49" s="412">
        <f t="shared" si="8"/>
      </c>
      <c r="W49" s="412">
        <f t="shared" si="9"/>
      </c>
      <c r="X49" s="412">
        <f t="shared" si="10"/>
      </c>
      <c r="Y49" s="412">
        <f t="shared" si="11"/>
      </c>
      <c r="Z49" s="409" t="b">
        <f t="shared" si="12"/>
        <v>0</v>
      </c>
      <c r="AA49" s="384"/>
    </row>
    <row r="50" spans="1:27" s="483" customFormat="1" ht="12.75" customHeight="1">
      <c r="A50" s="4"/>
      <c r="B50" s="5"/>
      <c r="C50" s="29">
        <v>9</v>
      </c>
      <c r="D50" s="877">
        <f t="shared" si="6"/>
      </c>
      <c r="E50" s="878"/>
      <c r="F50" s="879"/>
      <c r="G50" s="312"/>
      <c r="H50" s="312"/>
      <c r="I50" s="312"/>
      <c r="J50" s="312"/>
      <c r="K50" s="312"/>
      <c r="L50" s="312"/>
      <c r="M50" s="312"/>
      <c r="N50" s="312"/>
      <c r="O50" s="288"/>
      <c r="P50" s="9"/>
      <c r="Q50" s="402"/>
      <c r="R50" s="384"/>
      <c r="S50" s="384"/>
      <c r="T50" s="384"/>
      <c r="U50" s="412">
        <f t="shared" si="7"/>
      </c>
      <c r="V50" s="412">
        <f t="shared" si="8"/>
      </c>
      <c r="W50" s="412">
        <f t="shared" si="9"/>
      </c>
      <c r="X50" s="412">
        <f t="shared" si="10"/>
      </c>
      <c r="Y50" s="412">
        <f t="shared" si="11"/>
      </c>
      <c r="Z50" s="409" t="b">
        <f t="shared" si="12"/>
        <v>0</v>
      </c>
      <c r="AA50" s="384"/>
    </row>
    <row r="51" spans="1:27" s="483" customFormat="1" ht="12.75" customHeight="1">
      <c r="A51" s="4"/>
      <c r="B51" s="5"/>
      <c r="C51" s="25">
        <v>10</v>
      </c>
      <c r="D51" s="908">
        <f t="shared" si="6"/>
      </c>
      <c r="E51" s="909"/>
      <c r="F51" s="910"/>
      <c r="G51" s="187"/>
      <c r="H51" s="187"/>
      <c r="I51" s="187"/>
      <c r="J51" s="187"/>
      <c r="K51" s="187"/>
      <c r="L51" s="187"/>
      <c r="M51" s="187"/>
      <c r="N51" s="187"/>
      <c r="O51" s="288"/>
      <c r="P51" s="9"/>
      <c r="Q51" s="402"/>
      <c r="R51" s="384"/>
      <c r="S51" s="384"/>
      <c r="T51" s="384"/>
      <c r="U51" s="412">
        <f t="shared" si="7"/>
      </c>
      <c r="V51" s="412">
        <f t="shared" si="8"/>
      </c>
      <c r="W51" s="412">
        <f t="shared" si="9"/>
      </c>
      <c r="X51" s="412">
        <f t="shared" si="10"/>
      </c>
      <c r="Y51" s="412">
        <f t="shared" si="11"/>
      </c>
      <c r="Z51" s="409" t="b">
        <f t="shared" si="12"/>
        <v>0</v>
      </c>
      <c r="AA51" s="384"/>
    </row>
    <row r="52" spans="1:27" s="606" customFormat="1" ht="39.75" customHeight="1">
      <c r="A52" s="599"/>
      <c r="B52" s="337"/>
      <c r="C52" s="600">
        <v>11</v>
      </c>
      <c r="D52" s="889" t="str">
        <f aca="true" t="shared" si="13" ref="D52:D57">INDEX(EUconst_FallBackListNames,C52-10)</f>
        <v>Подинсталация с топлинен показател, с риск от изтичане на въглерод</v>
      </c>
      <c r="E52" s="890"/>
      <c r="F52" s="891"/>
      <c r="G52" s="608"/>
      <c r="H52" s="608"/>
      <c r="I52" s="608"/>
      <c r="J52" s="608"/>
      <c r="K52" s="608"/>
      <c r="L52" s="608"/>
      <c r="M52" s="608"/>
      <c r="N52" s="608"/>
      <c r="O52" s="360"/>
      <c r="P52" s="373"/>
      <c r="Q52" s="416"/>
      <c r="R52" s="603"/>
      <c r="S52" s="603"/>
      <c r="T52" s="603"/>
      <c r="U52" s="602" t="b">
        <v>1</v>
      </c>
      <c r="V52" s="602">
        <f>EUwideConstants!$C$304</f>
        <v>91</v>
      </c>
      <c r="W52" s="602">
        <f>EUwideConstants!$H$304</f>
        <v>62.3</v>
      </c>
      <c r="X52" s="602" t="str">
        <f aca="true" t="shared" si="14" ref="X52:X57">EUconst_EUA&amp;" / "&amp;Y52</f>
        <v>EUA / TJ</v>
      </c>
      <c r="Y52" s="602" t="str">
        <f>EUconst_TJ</f>
        <v>TJ</v>
      </c>
      <c r="Z52" s="605" t="b">
        <f t="shared" si="12"/>
        <v>0</v>
      </c>
      <c r="AA52" s="603"/>
    </row>
    <row r="53" spans="1:27" s="606" customFormat="1" ht="39.75" customHeight="1">
      <c r="A53" s="599"/>
      <c r="B53" s="337"/>
      <c r="C53" s="600">
        <v>12</v>
      </c>
      <c r="D53" s="886" t="str">
        <f t="shared" si="13"/>
        <v>Подинсталация с топлинен показател, без риск от изтичане на въглерод</v>
      </c>
      <c r="E53" s="887"/>
      <c r="F53" s="888"/>
      <c r="G53" s="601"/>
      <c r="H53" s="601"/>
      <c r="I53" s="601"/>
      <c r="J53" s="601"/>
      <c r="K53" s="601"/>
      <c r="L53" s="601"/>
      <c r="M53" s="601"/>
      <c r="N53" s="601"/>
      <c r="O53" s="360"/>
      <c r="P53" s="373"/>
      <c r="Q53" s="416"/>
      <c r="R53" s="603"/>
      <c r="S53" s="603"/>
      <c r="T53" s="603"/>
      <c r="U53" s="602" t="b">
        <v>0</v>
      </c>
      <c r="V53" s="602">
        <f>EUwideConstants!$C$305</f>
        <v>92</v>
      </c>
      <c r="W53" s="602">
        <f>EUwideConstants!$H$305</f>
        <v>62.3</v>
      </c>
      <c r="X53" s="602" t="str">
        <f t="shared" si="14"/>
        <v>EUA / TJ</v>
      </c>
      <c r="Y53" s="602" t="str">
        <f>EUconst_TJ</f>
        <v>TJ</v>
      </c>
      <c r="Z53" s="605" t="b">
        <f t="shared" si="12"/>
        <v>0</v>
      </c>
      <c r="AA53" s="603"/>
    </row>
    <row r="54" spans="1:27" s="606" customFormat="1" ht="39.75" customHeight="1">
      <c r="A54" s="599"/>
      <c r="B54" s="337"/>
      <c r="C54" s="600">
        <v>13</v>
      </c>
      <c r="D54" s="886" t="str">
        <f t="shared" si="13"/>
        <v>Подинсталация с горивен показател, с риск от изтичане на въглерод</v>
      </c>
      <c r="E54" s="887"/>
      <c r="F54" s="888"/>
      <c r="G54" s="601"/>
      <c r="H54" s="601"/>
      <c r="I54" s="601"/>
      <c r="J54" s="601"/>
      <c r="K54" s="601"/>
      <c r="L54" s="601"/>
      <c r="M54" s="601"/>
      <c r="N54" s="601"/>
      <c r="O54" s="360"/>
      <c r="P54" s="373"/>
      <c r="Q54" s="416"/>
      <c r="R54" s="603"/>
      <c r="S54" s="603"/>
      <c r="T54" s="603"/>
      <c r="U54" s="602" t="b">
        <v>1</v>
      </c>
      <c r="V54" s="602">
        <f>EUwideConstants!$C$306</f>
        <v>93</v>
      </c>
      <c r="W54" s="602">
        <f>EUwideConstants!$H$306</f>
        <v>56.1</v>
      </c>
      <c r="X54" s="602" t="str">
        <f t="shared" si="14"/>
        <v>EUA / TJ</v>
      </c>
      <c r="Y54" s="602" t="str">
        <f>EUconst_TJ</f>
        <v>TJ</v>
      </c>
      <c r="Z54" s="605" t="b">
        <f t="shared" si="12"/>
        <v>0</v>
      </c>
      <c r="AA54" s="603"/>
    </row>
    <row r="55" spans="1:27" s="606" customFormat="1" ht="39.75" customHeight="1">
      <c r="A55" s="599"/>
      <c r="B55" s="337"/>
      <c r="C55" s="600">
        <v>14</v>
      </c>
      <c r="D55" s="886" t="str">
        <f t="shared" si="13"/>
        <v>Подинсталация с горивен показател, без риск от изтичане на въглерод</v>
      </c>
      <c r="E55" s="887"/>
      <c r="F55" s="888"/>
      <c r="G55" s="601"/>
      <c r="H55" s="601"/>
      <c r="I55" s="601"/>
      <c r="J55" s="601"/>
      <c r="K55" s="601"/>
      <c r="L55" s="601"/>
      <c r="M55" s="601"/>
      <c r="N55" s="601"/>
      <c r="O55" s="360"/>
      <c r="P55" s="373"/>
      <c r="Q55" s="416"/>
      <c r="R55" s="603"/>
      <c r="S55" s="603"/>
      <c r="T55" s="603"/>
      <c r="U55" s="602" t="b">
        <v>0</v>
      </c>
      <c r="V55" s="602">
        <f>EUwideConstants!$C$307</f>
        <v>94</v>
      </c>
      <c r="W55" s="602">
        <f>EUwideConstants!$H$307</f>
        <v>56.1</v>
      </c>
      <c r="X55" s="602" t="str">
        <f t="shared" si="14"/>
        <v>EUA / TJ</v>
      </c>
      <c r="Y55" s="602" t="str">
        <f>EUconst_TJ</f>
        <v>TJ</v>
      </c>
      <c r="Z55" s="605" t="b">
        <f t="shared" si="12"/>
        <v>0</v>
      </c>
      <c r="AA55" s="603"/>
    </row>
    <row r="56" spans="1:27" s="606" customFormat="1" ht="39.75" customHeight="1">
      <c r="A56" s="599"/>
      <c r="B56" s="337"/>
      <c r="C56" s="600">
        <v>15</v>
      </c>
      <c r="D56" s="886" t="str">
        <f t="shared" si="13"/>
        <v>Подинсталация с технологични емисии, с риск от изтичане на въглерод</v>
      </c>
      <c r="E56" s="887"/>
      <c r="F56" s="888"/>
      <c r="G56" s="601"/>
      <c r="H56" s="601"/>
      <c r="I56" s="601"/>
      <c r="J56" s="601"/>
      <c r="K56" s="601"/>
      <c r="L56" s="601"/>
      <c r="M56" s="601"/>
      <c r="N56" s="601"/>
      <c r="O56" s="360"/>
      <c r="P56" s="373"/>
      <c r="Q56" s="416"/>
      <c r="R56" s="603"/>
      <c r="S56" s="603"/>
      <c r="T56" s="603"/>
      <c r="U56" s="602" t="b">
        <v>1</v>
      </c>
      <c r="V56" s="602">
        <f>EUwideConstants!$C$308</f>
        <v>95</v>
      </c>
      <c r="W56" s="602">
        <f>EUwideConstants!$H$308</f>
        <v>0.97</v>
      </c>
      <c r="X56" s="602" t="str">
        <f t="shared" si="14"/>
        <v>EUA / t CO2e</v>
      </c>
      <c r="Y56" s="602" t="str">
        <f>EUconst_tCO2e</f>
        <v>t CO2e</v>
      </c>
      <c r="Z56" s="605" t="b">
        <f t="shared" si="12"/>
        <v>0</v>
      </c>
      <c r="AA56" s="603"/>
    </row>
    <row r="57" spans="1:27" s="606" customFormat="1" ht="39.75" customHeight="1">
      <c r="A57" s="599"/>
      <c r="B57" s="337"/>
      <c r="C57" s="600">
        <v>16</v>
      </c>
      <c r="D57" s="880" t="str">
        <f t="shared" si="13"/>
        <v>Подинсталация с технологични емисии, без риск от изтичане на въглерод</v>
      </c>
      <c r="E57" s="881"/>
      <c r="F57" s="882"/>
      <c r="G57" s="607"/>
      <c r="H57" s="607"/>
      <c r="I57" s="607"/>
      <c r="J57" s="607"/>
      <c r="K57" s="607"/>
      <c r="L57" s="607"/>
      <c r="M57" s="607"/>
      <c r="N57" s="607"/>
      <c r="O57" s="360"/>
      <c r="P57" s="373"/>
      <c r="Q57" s="416"/>
      <c r="R57" s="603"/>
      <c r="S57" s="603"/>
      <c r="T57" s="603"/>
      <c r="U57" s="602" t="b">
        <v>0</v>
      </c>
      <c r="V57" s="602">
        <f>EUwideConstants!$C$309</f>
        <v>96</v>
      </c>
      <c r="W57" s="602">
        <f>EUwideConstants!$H$309</f>
        <v>0.97</v>
      </c>
      <c r="X57" s="602" t="str">
        <f t="shared" si="14"/>
        <v>EUA / t CO2e</v>
      </c>
      <c r="Y57" s="602" t="str">
        <f>EUconst_tCO2e</f>
        <v>t CO2e</v>
      </c>
      <c r="Z57" s="605" t="b">
        <f t="shared" si="12"/>
        <v>0</v>
      </c>
      <c r="AA57" s="603"/>
    </row>
    <row r="58" spans="1:27" s="483" customFormat="1" ht="12.75" customHeight="1" thickBot="1">
      <c r="A58" s="4"/>
      <c r="B58" s="5"/>
      <c r="C58" s="374">
        <v>17</v>
      </c>
      <c r="D58" s="892" t="str">
        <f>EUconst_PrivateHouseholds</f>
        <v>За частни жилища</v>
      </c>
      <c r="E58" s="893"/>
      <c r="F58" s="894"/>
      <c r="G58" s="376"/>
      <c r="H58" s="376"/>
      <c r="I58" s="376"/>
      <c r="J58" s="376"/>
      <c r="K58" s="376"/>
      <c r="L58" s="376"/>
      <c r="M58" s="376"/>
      <c r="N58" s="376"/>
      <c r="O58" s="288"/>
      <c r="P58" s="9"/>
      <c r="Q58" s="402"/>
      <c r="R58" s="384"/>
      <c r="S58" s="384"/>
      <c r="T58" s="384"/>
      <c r="U58" s="412">
        <f>""</f>
      </c>
      <c r="V58" s="412"/>
      <c r="W58" s="412"/>
      <c r="X58" s="412"/>
      <c r="Y58" s="412"/>
      <c r="Z58" s="409" t="b">
        <f t="shared" si="12"/>
        <v>0</v>
      </c>
      <c r="AA58" s="384"/>
    </row>
    <row r="59" spans="1:27" s="483" customFormat="1" ht="26.25" customHeight="1">
      <c r="A59" s="4"/>
      <c r="B59" s="5"/>
      <c r="C59" s="18"/>
      <c r="D59" s="895" t="str">
        <f>EUconst_TotFreeAlloc</f>
        <v>Окончателно общо безплатно отпуснато количество квоти</v>
      </c>
      <c r="E59" s="896"/>
      <c r="F59" s="897"/>
      <c r="G59" s="212">
        <f aca="true" t="shared" si="15" ref="G59:N59">IF(COUNT(G41:G58)&gt;0,SUM(G41:G58),"")</f>
      </c>
      <c r="H59" s="212">
        <f t="shared" si="15"/>
      </c>
      <c r="I59" s="212">
        <f t="shared" si="15"/>
      </c>
      <c r="J59" s="212">
        <f t="shared" si="15"/>
      </c>
      <c r="K59" s="212">
        <f t="shared" si="15"/>
      </c>
      <c r="L59" s="212">
        <f t="shared" si="15"/>
      </c>
      <c r="M59" s="212">
        <f t="shared" si="15"/>
      </c>
      <c r="N59" s="212">
        <f t="shared" si="15"/>
      </c>
      <c r="O59" s="288"/>
      <c r="P59" s="9"/>
      <c r="Q59" s="402"/>
      <c r="R59" s="402"/>
      <c r="S59" s="402"/>
      <c r="T59" s="402"/>
      <c r="U59" s="402"/>
      <c r="V59" s="402"/>
      <c r="W59" s="402"/>
      <c r="X59" s="402"/>
      <c r="Y59" s="384"/>
      <c r="Z59" s="409" t="b">
        <f t="shared" si="12"/>
        <v>0</v>
      </c>
      <c r="AA59" s="384"/>
    </row>
    <row r="60" spans="1:27" s="483" customFormat="1" ht="12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9"/>
      <c r="N60" s="9"/>
      <c r="O60" s="288"/>
      <c r="P60" s="9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384"/>
    </row>
    <row r="61" spans="1:27" s="483" customFormat="1" ht="12.75" customHeight="1">
      <c r="A61" s="4"/>
      <c r="B61" s="5"/>
      <c r="C61" s="5"/>
      <c r="D61" s="193" t="s">
        <v>449</v>
      </c>
      <c r="E61" s="689" t="str">
        <f>Translations!$B$597</f>
        <v>Първоначален инсталиран капацитет (мощност) и първоначално годишно равнище на активност</v>
      </c>
      <c r="F61" s="688"/>
      <c r="G61" s="688"/>
      <c r="H61" s="688"/>
      <c r="I61" s="688"/>
      <c r="J61" s="688"/>
      <c r="K61" s="688"/>
      <c r="L61" s="688"/>
      <c r="M61" s="688"/>
      <c r="N61" s="688"/>
      <c r="O61" s="282"/>
      <c r="P61" s="342"/>
      <c r="Q61" s="402"/>
      <c r="R61" s="384"/>
      <c r="S61" s="384"/>
      <c r="T61" s="384"/>
      <c r="U61" s="384"/>
      <c r="V61" s="384"/>
      <c r="W61" s="384"/>
      <c r="X61" s="384"/>
      <c r="Y61" s="384"/>
      <c r="Z61" s="384"/>
      <c r="AA61" s="384"/>
    </row>
    <row r="62" spans="1:27" s="483" customFormat="1" ht="24" customHeight="1">
      <c r="A62" s="4"/>
      <c r="B62" s="5"/>
      <c r="C62" s="5"/>
      <c r="D62" s="193"/>
      <c r="E62" s="742" t="str">
        <f>Translations!$B$598</f>
        <v>Моля въведете тук стойностите на капацитета (мощността) и на равнището на активност, използвани за определяне на най-новото окончателно разпределено количество квоти.</v>
      </c>
      <c r="F62" s="667"/>
      <c r="G62" s="667"/>
      <c r="H62" s="667"/>
      <c r="I62" s="667"/>
      <c r="J62" s="667"/>
      <c r="K62" s="667"/>
      <c r="L62" s="667"/>
      <c r="M62" s="667"/>
      <c r="N62" s="667"/>
      <c r="O62" s="282"/>
      <c r="P62" s="288"/>
      <c r="Q62" s="402"/>
      <c r="R62" s="384"/>
      <c r="S62" s="384"/>
      <c r="T62" s="384"/>
      <c r="U62" s="384"/>
      <c r="V62" s="384"/>
      <c r="W62" s="384"/>
      <c r="X62" s="384"/>
      <c r="Y62" s="384"/>
      <c r="Z62" s="384"/>
      <c r="AA62" s="384"/>
    </row>
    <row r="63" spans="1:27" s="483" customFormat="1" ht="36.75" customHeight="1">
      <c r="A63" s="4"/>
      <c r="B63" s="5"/>
      <c r="C63" s="5"/>
      <c r="D63" s="193"/>
      <c r="E63" s="742" t="str">
        <f>Translations!$B$599</f>
        <v>Тези стойности трябва да отразяват текущата стойност на първоначалния инсталиран капацитет (мощност) и на първоначалното годишно равнище на активност и ще се използват за евентуални бъдещи изменения на разпределеното количество квоти в съответствие с членове 19—23 от CIMs (Решение2011/278/ЕС).</v>
      </c>
      <c r="F63" s="667"/>
      <c r="G63" s="667"/>
      <c r="H63" s="667"/>
      <c r="I63" s="667"/>
      <c r="J63" s="667"/>
      <c r="K63" s="667"/>
      <c r="L63" s="667"/>
      <c r="M63" s="667"/>
      <c r="N63" s="667"/>
      <c r="O63" s="282"/>
      <c r="P63" s="288"/>
      <c r="Q63" s="402"/>
      <c r="R63" s="384"/>
      <c r="S63" s="384"/>
      <c r="T63" s="384"/>
      <c r="U63" s="384"/>
      <c r="V63" s="384"/>
      <c r="W63" s="384"/>
      <c r="X63" s="384"/>
      <c r="Y63" s="384"/>
      <c r="Z63" s="384"/>
      <c r="AA63" s="384"/>
    </row>
    <row r="64" spans="1:27" s="487" customFormat="1" ht="54" customHeight="1" thickBot="1">
      <c r="A64" s="357"/>
      <c r="B64" s="337"/>
      <c r="C64" s="358"/>
      <c r="D64" s="911" t="str">
        <f>Translations!$B$402</f>
        <v>Подинсталация</v>
      </c>
      <c r="E64" s="912"/>
      <c r="F64" s="912"/>
      <c r="G64" s="913"/>
      <c r="H64" s="66" t="str">
        <f>EUconst_Unit</f>
        <v>Единица мярка</v>
      </c>
      <c r="I64" s="66" t="str">
        <f>Translations!$B$471</f>
        <v>Първоначален инсталиран капацитет</v>
      </c>
      <c r="J64" s="359" t="str">
        <f>Translations!$B$481</f>
        <v>Първоначално годишно ниво на активност </v>
      </c>
      <c r="K64" s="351" t="str">
        <f>Translations!$B$477</f>
        <v>съобщение за грешка</v>
      </c>
      <c r="L64" s="288"/>
      <c r="M64" s="288"/>
      <c r="N64" s="288"/>
      <c r="O64" s="360"/>
      <c r="P64" s="361"/>
      <c r="Q64" s="416"/>
      <c r="R64" s="416"/>
      <c r="S64" s="416"/>
      <c r="T64" s="416"/>
      <c r="U64" s="416"/>
      <c r="V64" s="410" t="s">
        <v>532</v>
      </c>
      <c r="W64" s="416"/>
      <c r="X64" s="416"/>
      <c r="Y64" s="416"/>
      <c r="Z64" s="416"/>
      <c r="AA64" s="417"/>
    </row>
    <row r="65" spans="1:27" s="483" customFormat="1" ht="12.75" customHeight="1">
      <c r="A65" s="4"/>
      <c r="B65" s="5"/>
      <c r="C65" s="29">
        <v>1</v>
      </c>
      <c r="D65" s="905">
        <f aca="true" t="shared" si="16" ref="D65:D74">IF(D18="","",D18)</f>
      </c>
      <c r="E65" s="906"/>
      <c r="F65" s="906"/>
      <c r="G65" s="907"/>
      <c r="H65" s="65">
        <f>IF(D65&lt;&gt;"",INDEX(EUconst_BMlistUnits,MATCH($D65,EUconst_BMlistNames,0))&amp;" / "&amp;EUconst_Year,"")</f>
      </c>
      <c r="I65" s="491"/>
      <c r="J65" s="491"/>
      <c r="K65" s="362">
        <f aca="true" t="shared" si="17" ref="K65:K74">IF(D65="","",IF(COUNT(I65:J65)&lt;2,EUconst_Incomplete,""))</f>
      </c>
      <c r="L65" s="288"/>
      <c r="M65" s="288"/>
      <c r="N65" s="288"/>
      <c r="O65" s="288"/>
      <c r="P65" s="286"/>
      <c r="Q65" s="412" t="str">
        <f aca="true" t="shared" si="18" ref="Q65:Q80">EUconst_CNTR_CAPINI&amp;$V65&amp;"_"&amp;$D65</f>
        <v>CAPINI_1_</v>
      </c>
      <c r="R65" s="412" t="str">
        <f aca="true" t="shared" si="19" ref="R65:R80">EUconst_CNTR_HAL&amp;$V65&amp;"_"&amp;$D65</f>
        <v>HAL_1_</v>
      </c>
      <c r="S65" s="412" t="str">
        <f aca="true" t="shared" si="20" ref="S65:S74">EUconst_CNTR_HAL&amp;$V65&amp;"_"&amp;$C65</f>
        <v>HAL_1_1</v>
      </c>
      <c r="T65" s="402"/>
      <c r="U65" s="402"/>
      <c r="V65" s="413">
        <f>V34</f>
        <v>1</v>
      </c>
      <c r="W65" s="402"/>
      <c r="X65" s="402"/>
      <c r="Y65" s="412">
        <f>M11</f>
      </c>
      <c r="Z65" s="409" t="b">
        <f aca="true" t="shared" si="21" ref="Z65:Z74">AND(Y65&lt;&gt;"",D18="")</f>
        <v>0</v>
      </c>
      <c r="AA65" s="384"/>
    </row>
    <row r="66" spans="1:27" s="483" customFormat="1" ht="12.75" customHeight="1">
      <c r="A66" s="4"/>
      <c r="B66" s="5"/>
      <c r="C66" s="29">
        <v>2</v>
      </c>
      <c r="D66" s="877">
        <f t="shared" si="16"/>
      </c>
      <c r="E66" s="878"/>
      <c r="F66" s="878"/>
      <c r="G66" s="879"/>
      <c r="H66" s="64">
        <f aca="true" t="shared" si="22" ref="H66:H74">IF(D66&lt;&gt;"",INDEX(EUconst_BMlistUnits,MATCH($D66,EUconst_BMlistNames,0))&amp;" / "&amp;EUconst_Year,"")</f>
      </c>
      <c r="I66" s="492"/>
      <c r="J66" s="492"/>
      <c r="K66" s="363">
        <f t="shared" si="17"/>
      </c>
      <c r="L66" s="288"/>
      <c r="M66" s="288"/>
      <c r="N66" s="288"/>
      <c r="O66" s="288"/>
      <c r="P66" s="286"/>
      <c r="Q66" s="412" t="str">
        <f t="shared" si="18"/>
        <v>CAPINI_1_</v>
      </c>
      <c r="R66" s="412" t="str">
        <f t="shared" si="19"/>
        <v>HAL_1_</v>
      </c>
      <c r="S66" s="412" t="str">
        <f t="shared" si="20"/>
        <v>HAL_1_2</v>
      </c>
      <c r="T66" s="402"/>
      <c r="U66" s="402"/>
      <c r="V66" s="414">
        <f aca="true" t="shared" si="23" ref="V66:V80">V65</f>
        <v>1</v>
      </c>
      <c r="W66" s="402"/>
      <c r="X66" s="402"/>
      <c r="Y66" s="412">
        <f>Y65</f>
      </c>
      <c r="Z66" s="409" t="b">
        <f t="shared" si="21"/>
        <v>0</v>
      </c>
      <c r="AA66" s="384"/>
    </row>
    <row r="67" spans="1:27" s="483" customFormat="1" ht="12.75" customHeight="1">
      <c r="A67" s="4"/>
      <c r="B67" s="5"/>
      <c r="C67" s="29">
        <v>3</v>
      </c>
      <c r="D67" s="877">
        <f t="shared" si="16"/>
      </c>
      <c r="E67" s="878"/>
      <c r="F67" s="878"/>
      <c r="G67" s="879"/>
      <c r="H67" s="64">
        <f t="shared" si="22"/>
      </c>
      <c r="I67" s="492"/>
      <c r="J67" s="492"/>
      <c r="K67" s="363">
        <f t="shared" si="17"/>
      </c>
      <c r="L67" s="288"/>
      <c r="M67" s="288"/>
      <c r="N67" s="288"/>
      <c r="O67" s="288"/>
      <c r="P67" s="286"/>
      <c r="Q67" s="412" t="str">
        <f t="shared" si="18"/>
        <v>CAPINI_1_</v>
      </c>
      <c r="R67" s="412" t="str">
        <f t="shared" si="19"/>
        <v>HAL_1_</v>
      </c>
      <c r="S67" s="412" t="str">
        <f t="shared" si="20"/>
        <v>HAL_1_3</v>
      </c>
      <c r="T67" s="402"/>
      <c r="U67" s="402"/>
      <c r="V67" s="414">
        <f t="shared" si="23"/>
        <v>1</v>
      </c>
      <c r="W67" s="402"/>
      <c r="X67" s="402"/>
      <c r="Y67" s="412">
        <f aca="true" t="shared" si="24" ref="Y67:Y80">Y66</f>
      </c>
      <c r="Z67" s="409" t="b">
        <f t="shared" si="21"/>
        <v>0</v>
      </c>
      <c r="AA67" s="384"/>
    </row>
    <row r="68" spans="1:27" s="483" customFormat="1" ht="12.75" customHeight="1">
      <c r="A68" s="4"/>
      <c r="B68" s="5"/>
      <c r="C68" s="29">
        <v>4</v>
      </c>
      <c r="D68" s="877">
        <f t="shared" si="16"/>
      </c>
      <c r="E68" s="878"/>
      <c r="F68" s="878"/>
      <c r="G68" s="879"/>
      <c r="H68" s="64">
        <f t="shared" si="22"/>
      </c>
      <c r="I68" s="492"/>
      <c r="J68" s="492"/>
      <c r="K68" s="363">
        <f t="shared" si="17"/>
      </c>
      <c r="L68" s="288"/>
      <c r="M68" s="288"/>
      <c r="N68" s="288"/>
      <c r="O68" s="288"/>
      <c r="P68" s="286"/>
      <c r="Q68" s="412" t="str">
        <f t="shared" si="18"/>
        <v>CAPINI_1_</v>
      </c>
      <c r="R68" s="412" t="str">
        <f t="shared" si="19"/>
        <v>HAL_1_</v>
      </c>
      <c r="S68" s="412" t="str">
        <f t="shared" si="20"/>
        <v>HAL_1_4</v>
      </c>
      <c r="T68" s="402"/>
      <c r="U68" s="402"/>
      <c r="V68" s="414">
        <f t="shared" si="23"/>
        <v>1</v>
      </c>
      <c r="W68" s="402"/>
      <c r="X68" s="402"/>
      <c r="Y68" s="412">
        <f t="shared" si="24"/>
      </c>
      <c r="Z68" s="409" t="b">
        <f t="shared" si="21"/>
        <v>0</v>
      </c>
      <c r="AA68" s="384"/>
    </row>
    <row r="69" spans="1:27" s="483" customFormat="1" ht="12.75" customHeight="1">
      <c r="A69" s="4"/>
      <c r="B69" s="5"/>
      <c r="C69" s="29">
        <v>5</v>
      </c>
      <c r="D69" s="877">
        <f t="shared" si="16"/>
      </c>
      <c r="E69" s="878"/>
      <c r="F69" s="878"/>
      <c r="G69" s="879"/>
      <c r="H69" s="64">
        <f t="shared" si="22"/>
      </c>
      <c r="I69" s="492"/>
      <c r="J69" s="492"/>
      <c r="K69" s="363">
        <f t="shared" si="17"/>
      </c>
      <c r="L69" s="288"/>
      <c r="M69" s="288"/>
      <c r="N69" s="342"/>
      <c r="O69" s="288"/>
      <c r="P69" s="286"/>
      <c r="Q69" s="412" t="str">
        <f t="shared" si="18"/>
        <v>CAPINI_1_</v>
      </c>
      <c r="R69" s="412" t="str">
        <f t="shared" si="19"/>
        <v>HAL_1_</v>
      </c>
      <c r="S69" s="412" t="str">
        <f t="shared" si="20"/>
        <v>HAL_1_5</v>
      </c>
      <c r="T69" s="402"/>
      <c r="U69" s="402"/>
      <c r="V69" s="414">
        <f t="shared" si="23"/>
        <v>1</v>
      </c>
      <c r="W69" s="402"/>
      <c r="X69" s="402"/>
      <c r="Y69" s="412">
        <f t="shared" si="24"/>
      </c>
      <c r="Z69" s="409" t="b">
        <f t="shared" si="21"/>
        <v>0</v>
      </c>
      <c r="AA69" s="384"/>
    </row>
    <row r="70" spans="1:27" s="483" customFormat="1" ht="12.75" customHeight="1">
      <c r="A70" s="4"/>
      <c r="B70" s="5"/>
      <c r="C70" s="29">
        <v>6</v>
      </c>
      <c r="D70" s="877">
        <f t="shared" si="16"/>
      </c>
      <c r="E70" s="878"/>
      <c r="F70" s="878"/>
      <c r="G70" s="879"/>
      <c r="H70" s="64">
        <f t="shared" si="22"/>
      </c>
      <c r="I70" s="492"/>
      <c r="J70" s="492"/>
      <c r="K70" s="363">
        <f t="shared" si="17"/>
      </c>
      <c r="L70" s="288"/>
      <c r="M70" s="288"/>
      <c r="N70" s="288"/>
      <c r="O70" s="288"/>
      <c r="P70" s="9"/>
      <c r="Q70" s="412" t="str">
        <f t="shared" si="18"/>
        <v>CAPINI_1_</v>
      </c>
      <c r="R70" s="412" t="str">
        <f t="shared" si="19"/>
        <v>HAL_1_</v>
      </c>
      <c r="S70" s="412" t="str">
        <f t="shared" si="20"/>
        <v>HAL_1_6</v>
      </c>
      <c r="T70" s="402"/>
      <c r="U70" s="402"/>
      <c r="V70" s="414">
        <f t="shared" si="23"/>
        <v>1</v>
      </c>
      <c r="W70" s="402"/>
      <c r="X70" s="402"/>
      <c r="Y70" s="412">
        <f t="shared" si="24"/>
      </c>
      <c r="Z70" s="409" t="b">
        <f t="shared" si="21"/>
        <v>0</v>
      </c>
      <c r="AA70" s="384"/>
    </row>
    <row r="71" spans="1:27" s="483" customFormat="1" ht="12.75" customHeight="1">
      <c r="A71" s="4"/>
      <c r="B71" s="5"/>
      <c r="C71" s="29">
        <v>7</v>
      </c>
      <c r="D71" s="877">
        <f t="shared" si="16"/>
      </c>
      <c r="E71" s="878"/>
      <c r="F71" s="878"/>
      <c r="G71" s="879"/>
      <c r="H71" s="64">
        <f t="shared" si="22"/>
      </c>
      <c r="I71" s="492"/>
      <c r="J71" s="492"/>
      <c r="K71" s="363">
        <f t="shared" si="17"/>
      </c>
      <c r="L71" s="288"/>
      <c r="M71" s="288"/>
      <c r="N71" s="288"/>
      <c r="O71" s="288"/>
      <c r="P71" s="9"/>
      <c r="Q71" s="412" t="str">
        <f t="shared" si="18"/>
        <v>CAPINI_1_</v>
      </c>
      <c r="R71" s="412" t="str">
        <f t="shared" si="19"/>
        <v>HAL_1_</v>
      </c>
      <c r="S71" s="412" t="str">
        <f t="shared" si="20"/>
        <v>HAL_1_7</v>
      </c>
      <c r="T71" s="402"/>
      <c r="U71" s="402"/>
      <c r="V71" s="414">
        <f t="shared" si="23"/>
        <v>1</v>
      </c>
      <c r="W71" s="402"/>
      <c r="X71" s="402"/>
      <c r="Y71" s="412">
        <f t="shared" si="24"/>
      </c>
      <c r="Z71" s="409" t="b">
        <f t="shared" si="21"/>
        <v>0</v>
      </c>
      <c r="AA71" s="384"/>
    </row>
    <row r="72" spans="1:27" s="483" customFormat="1" ht="12.75" customHeight="1">
      <c r="A72" s="4"/>
      <c r="B72" s="5"/>
      <c r="C72" s="29">
        <v>8</v>
      </c>
      <c r="D72" s="877">
        <f t="shared" si="16"/>
      </c>
      <c r="E72" s="878"/>
      <c r="F72" s="878"/>
      <c r="G72" s="879"/>
      <c r="H72" s="64">
        <f t="shared" si="22"/>
      </c>
      <c r="I72" s="492"/>
      <c r="J72" s="492"/>
      <c r="K72" s="363">
        <f t="shared" si="17"/>
      </c>
      <c r="L72" s="288"/>
      <c r="M72" s="288"/>
      <c r="N72" s="288"/>
      <c r="O72" s="288"/>
      <c r="P72" s="9"/>
      <c r="Q72" s="412" t="str">
        <f t="shared" si="18"/>
        <v>CAPINI_1_</v>
      </c>
      <c r="R72" s="412" t="str">
        <f t="shared" si="19"/>
        <v>HAL_1_</v>
      </c>
      <c r="S72" s="412" t="str">
        <f t="shared" si="20"/>
        <v>HAL_1_8</v>
      </c>
      <c r="T72" s="402"/>
      <c r="U72" s="402"/>
      <c r="V72" s="414">
        <f t="shared" si="23"/>
        <v>1</v>
      </c>
      <c r="W72" s="402"/>
      <c r="X72" s="402"/>
      <c r="Y72" s="412">
        <f t="shared" si="24"/>
      </c>
      <c r="Z72" s="409" t="b">
        <f t="shared" si="21"/>
        <v>0</v>
      </c>
      <c r="AA72" s="384"/>
    </row>
    <row r="73" spans="1:27" s="483" customFormat="1" ht="12.75" customHeight="1">
      <c r="A73" s="4"/>
      <c r="B73" s="5"/>
      <c r="C73" s="29">
        <v>9</v>
      </c>
      <c r="D73" s="877">
        <f t="shared" si="16"/>
      </c>
      <c r="E73" s="878"/>
      <c r="F73" s="878"/>
      <c r="G73" s="879"/>
      <c r="H73" s="64">
        <f t="shared" si="22"/>
      </c>
      <c r="I73" s="492"/>
      <c r="J73" s="492"/>
      <c r="K73" s="363">
        <f t="shared" si="17"/>
      </c>
      <c r="L73" s="288"/>
      <c r="M73" s="288"/>
      <c r="N73" s="288"/>
      <c r="O73" s="288"/>
      <c r="P73" s="9"/>
      <c r="Q73" s="412" t="str">
        <f t="shared" si="18"/>
        <v>CAPINI_1_</v>
      </c>
      <c r="R73" s="412" t="str">
        <f t="shared" si="19"/>
        <v>HAL_1_</v>
      </c>
      <c r="S73" s="412" t="str">
        <f t="shared" si="20"/>
        <v>HAL_1_9</v>
      </c>
      <c r="T73" s="402"/>
      <c r="U73" s="402"/>
      <c r="V73" s="414">
        <f t="shared" si="23"/>
        <v>1</v>
      </c>
      <c r="W73" s="402"/>
      <c r="X73" s="402"/>
      <c r="Y73" s="412">
        <f t="shared" si="24"/>
      </c>
      <c r="Z73" s="409" t="b">
        <f t="shared" si="21"/>
        <v>0</v>
      </c>
      <c r="AA73" s="384"/>
    </row>
    <row r="74" spans="1:27" s="483" customFormat="1" ht="12.75" customHeight="1">
      <c r="A74" s="4"/>
      <c r="B74" s="5"/>
      <c r="C74" s="25">
        <v>10</v>
      </c>
      <c r="D74" s="908">
        <f t="shared" si="16"/>
      </c>
      <c r="E74" s="909"/>
      <c r="F74" s="909"/>
      <c r="G74" s="910"/>
      <c r="H74" s="63">
        <f t="shared" si="22"/>
      </c>
      <c r="I74" s="493"/>
      <c r="J74" s="493"/>
      <c r="K74" s="364">
        <f t="shared" si="17"/>
      </c>
      <c r="L74" s="288"/>
      <c r="M74" s="288"/>
      <c r="N74" s="288"/>
      <c r="O74" s="288"/>
      <c r="P74" s="9"/>
      <c r="Q74" s="412" t="str">
        <f t="shared" si="18"/>
        <v>CAPINI_1_</v>
      </c>
      <c r="R74" s="412" t="str">
        <f t="shared" si="19"/>
        <v>HAL_1_</v>
      </c>
      <c r="S74" s="412" t="str">
        <f t="shared" si="20"/>
        <v>HAL_1_10</v>
      </c>
      <c r="T74" s="402"/>
      <c r="U74" s="402"/>
      <c r="V74" s="414">
        <f t="shared" si="23"/>
        <v>1</v>
      </c>
      <c r="W74" s="402"/>
      <c r="X74" s="402"/>
      <c r="Y74" s="412">
        <f t="shared" si="24"/>
      </c>
      <c r="Z74" s="409" t="b">
        <f t="shared" si="21"/>
        <v>0</v>
      </c>
      <c r="AA74" s="384"/>
    </row>
    <row r="75" spans="1:27" s="483" customFormat="1" ht="27" customHeight="1">
      <c r="A75" s="4"/>
      <c r="B75" s="5"/>
      <c r="C75" s="29">
        <v>11</v>
      </c>
      <c r="D75" s="889" t="str">
        <f aca="true" t="shared" si="25" ref="D75:D80">INDEX(EUconst_FallBackListNames,C75-10)</f>
        <v>Подинсталация с топлинен показател, с риск от изтичане на въглерод</v>
      </c>
      <c r="E75" s="890"/>
      <c r="F75" s="890"/>
      <c r="G75" s="891"/>
      <c r="H75" s="65" t="str">
        <f aca="true" t="shared" si="26" ref="H75:H80">IF(D75&lt;&gt;"",INDEX(EUconst_FallBackListUnits,MATCH($D75,EUconst_FallBackListNames,0))&amp;" / "&amp;EUconst_Year,"")</f>
        <v>TJ / година</v>
      </c>
      <c r="I75" s="496"/>
      <c r="J75" s="491"/>
      <c r="K75" s="365">
        <f aca="true" t="shared" si="27" ref="K75:K80">IF(Y75="","",IF(AND(COUNT(G52:N52)&gt;0,COUNT(I75:J75)&lt;2),EUconst_Incomplete,""))</f>
      </c>
      <c r="L75" s="288"/>
      <c r="M75" s="288"/>
      <c r="N75" s="288"/>
      <c r="O75" s="288"/>
      <c r="P75" s="9"/>
      <c r="Q75" s="412" t="str">
        <f t="shared" si="18"/>
        <v>CAPINI_1_Подинсталация с топлинен показател, с риск от изтичане на въглерод</v>
      </c>
      <c r="R75" s="412" t="str">
        <f t="shared" si="19"/>
        <v>HAL_1_Подинсталация с топлинен показател, с риск от изтичане на въглерод</v>
      </c>
      <c r="S75" s="402"/>
      <c r="T75" s="402"/>
      <c r="U75" s="402"/>
      <c r="V75" s="414">
        <f t="shared" si="23"/>
        <v>1</v>
      </c>
      <c r="W75" s="402"/>
      <c r="X75" s="402"/>
      <c r="Y75" s="412">
        <f t="shared" si="24"/>
      </c>
      <c r="Z75" s="409" t="b">
        <f aca="true" t="shared" si="28" ref="Z75:Z80">AND(Y75&lt;&gt;"",COUNT(G28:N28)=0)</f>
        <v>0</v>
      </c>
      <c r="AA75" s="384"/>
    </row>
    <row r="76" spans="1:27" s="483" customFormat="1" ht="27" customHeight="1">
      <c r="A76" s="4"/>
      <c r="B76" s="5"/>
      <c r="C76" s="29">
        <v>12</v>
      </c>
      <c r="D76" s="886" t="str">
        <f t="shared" si="25"/>
        <v>Подинсталация с топлинен показател, без риск от изтичане на въглерод</v>
      </c>
      <c r="E76" s="887"/>
      <c r="F76" s="887"/>
      <c r="G76" s="888"/>
      <c r="H76" s="64" t="str">
        <f t="shared" si="26"/>
        <v>TJ / година</v>
      </c>
      <c r="I76" s="497"/>
      <c r="J76" s="492"/>
      <c r="K76" s="363">
        <f t="shared" si="27"/>
      </c>
      <c r="L76" s="288"/>
      <c r="M76" s="288"/>
      <c r="N76" s="288"/>
      <c r="O76" s="288"/>
      <c r="P76" s="9"/>
      <c r="Q76" s="412" t="str">
        <f t="shared" si="18"/>
        <v>CAPINI_1_Подинсталация с топлинен показател, без риск от изтичане на въглерод</v>
      </c>
      <c r="R76" s="412" t="str">
        <f t="shared" si="19"/>
        <v>HAL_1_Подинсталация с топлинен показател, без риск от изтичане на въглерод</v>
      </c>
      <c r="S76" s="402"/>
      <c r="T76" s="402"/>
      <c r="U76" s="402"/>
      <c r="V76" s="414">
        <f t="shared" si="23"/>
        <v>1</v>
      </c>
      <c r="W76" s="402"/>
      <c r="X76" s="402"/>
      <c r="Y76" s="412">
        <f t="shared" si="24"/>
      </c>
      <c r="Z76" s="409" t="b">
        <f t="shared" si="28"/>
        <v>0</v>
      </c>
      <c r="AA76" s="384"/>
    </row>
    <row r="77" spans="1:27" s="483" customFormat="1" ht="27" customHeight="1">
      <c r="A77" s="4"/>
      <c r="B77" s="5"/>
      <c r="C77" s="29">
        <v>13</v>
      </c>
      <c r="D77" s="886" t="str">
        <f t="shared" si="25"/>
        <v>Подинсталация с горивен показател, с риск от изтичане на въглерод</v>
      </c>
      <c r="E77" s="887"/>
      <c r="F77" s="887"/>
      <c r="G77" s="888"/>
      <c r="H77" s="64" t="str">
        <f t="shared" si="26"/>
        <v>TJ / година</v>
      </c>
      <c r="I77" s="497"/>
      <c r="J77" s="492"/>
      <c r="K77" s="363">
        <f t="shared" si="27"/>
      </c>
      <c r="L77" s="288"/>
      <c r="M77" s="288"/>
      <c r="N77" s="288"/>
      <c r="O77" s="288"/>
      <c r="P77" s="9"/>
      <c r="Q77" s="412" t="str">
        <f t="shared" si="18"/>
        <v>CAPINI_1_Подинсталация с горивен показател, с риск от изтичане на въглерод</v>
      </c>
      <c r="R77" s="412" t="str">
        <f t="shared" si="19"/>
        <v>HAL_1_Подинсталация с горивен показател, с риск от изтичане на въглерод</v>
      </c>
      <c r="S77" s="402"/>
      <c r="T77" s="402"/>
      <c r="U77" s="402"/>
      <c r="V77" s="414">
        <f t="shared" si="23"/>
        <v>1</v>
      </c>
      <c r="W77" s="402"/>
      <c r="X77" s="402"/>
      <c r="Y77" s="412">
        <f t="shared" si="24"/>
      </c>
      <c r="Z77" s="409" t="b">
        <f t="shared" si="28"/>
        <v>0</v>
      </c>
      <c r="AA77" s="384"/>
    </row>
    <row r="78" spans="1:27" s="483" customFormat="1" ht="27" customHeight="1">
      <c r="A78" s="4"/>
      <c r="B78" s="5"/>
      <c r="C78" s="29">
        <v>14</v>
      </c>
      <c r="D78" s="886" t="str">
        <f t="shared" si="25"/>
        <v>Подинсталация с горивен показател, без риск от изтичане на въглерод</v>
      </c>
      <c r="E78" s="887"/>
      <c r="F78" s="887"/>
      <c r="G78" s="888"/>
      <c r="H78" s="64" t="str">
        <f t="shared" si="26"/>
        <v>TJ / година</v>
      </c>
      <c r="I78" s="497"/>
      <c r="J78" s="492"/>
      <c r="K78" s="363">
        <f t="shared" si="27"/>
      </c>
      <c r="L78" s="288"/>
      <c r="M78" s="288"/>
      <c r="N78" s="288"/>
      <c r="O78" s="288"/>
      <c r="P78" s="9"/>
      <c r="Q78" s="412" t="str">
        <f t="shared" si="18"/>
        <v>CAPINI_1_Подинсталация с горивен показател, без риск от изтичане на въглерод</v>
      </c>
      <c r="R78" s="412" t="str">
        <f t="shared" si="19"/>
        <v>HAL_1_Подинсталация с горивен показател, без риск от изтичане на въглерод</v>
      </c>
      <c r="S78" s="402"/>
      <c r="T78" s="402"/>
      <c r="U78" s="402"/>
      <c r="V78" s="414">
        <f t="shared" si="23"/>
        <v>1</v>
      </c>
      <c r="W78" s="402"/>
      <c r="X78" s="402"/>
      <c r="Y78" s="412">
        <f t="shared" si="24"/>
      </c>
      <c r="Z78" s="409" t="b">
        <f t="shared" si="28"/>
        <v>0</v>
      </c>
      <c r="AA78" s="384"/>
    </row>
    <row r="79" spans="1:27" s="483" customFormat="1" ht="27" customHeight="1">
      <c r="A79" s="4"/>
      <c r="B79" s="5"/>
      <c r="C79" s="29">
        <v>15</v>
      </c>
      <c r="D79" s="886" t="str">
        <f t="shared" si="25"/>
        <v>Подинсталация с технологични емисии, с риск от изтичане на въглерод</v>
      </c>
      <c r="E79" s="887"/>
      <c r="F79" s="887"/>
      <c r="G79" s="888"/>
      <c r="H79" s="64" t="str">
        <f t="shared" si="26"/>
        <v>t CO2e / година</v>
      </c>
      <c r="I79" s="497"/>
      <c r="J79" s="492"/>
      <c r="K79" s="363">
        <f t="shared" si="27"/>
      </c>
      <c r="L79" s="288"/>
      <c r="M79" s="288"/>
      <c r="N79" s="288"/>
      <c r="O79" s="288"/>
      <c r="P79" s="9"/>
      <c r="Q79" s="412" t="str">
        <f t="shared" si="18"/>
        <v>CAPINI_1_Подинсталация с технологични емисии, с риск от изтичане на въглерод</v>
      </c>
      <c r="R79" s="412" t="str">
        <f t="shared" si="19"/>
        <v>HAL_1_Подинсталация с технологични емисии, с риск от изтичане на въглерод</v>
      </c>
      <c r="S79" s="402"/>
      <c r="T79" s="402"/>
      <c r="U79" s="402"/>
      <c r="V79" s="414">
        <f t="shared" si="23"/>
        <v>1</v>
      </c>
      <c r="W79" s="402"/>
      <c r="X79" s="402"/>
      <c r="Y79" s="412">
        <f t="shared" si="24"/>
      </c>
      <c r="Z79" s="409" t="b">
        <f t="shared" si="28"/>
        <v>0</v>
      </c>
      <c r="AA79" s="384"/>
    </row>
    <row r="80" spans="1:27" s="483" customFormat="1" ht="27" customHeight="1" thickBot="1">
      <c r="A80" s="4"/>
      <c r="B80" s="5"/>
      <c r="C80" s="25">
        <v>16</v>
      </c>
      <c r="D80" s="880" t="str">
        <f t="shared" si="25"/>
        <v>Подинсталация с технологични емисии, без риск от изтичане на въглерод</v>
      </c>
      <c r="E80" s="881"/>
      <c r="F80" s="881"/>
      <c r="G80" s="882"/>
      <c r="H80" s="63" t="str">
        <f t="shared" si="26"/>
        <v>t CO2e / година</v>
      </c>
      <c r="I80" s="498"/>
      <c r="J80" s="493"/>
      <c r="K80" s="364">
        <f t="shared" si="27"/>
      </c>
      <c r="L80" s="288"/>
      <c r="M80" s="288"/>
      <c r="N80" s="288"/>
      <c r="O80" s="288"/>
      <c r="P80" s="9"/>
      <c r="Q80" s="412" t="str">
        <f t="shared" si="18"/>
        <v>CAPINI_1_Подинсталация с технологични емисии, без риск от изтичане на въглерод</v>
      </c>
      <c r="R80" s="412" t="str">
        <f t="shared" si="19"/>
        <v>HAL_1_Подинсталация с технологични емисии, без риск от изтичане на въглерод</v>
      </c>
      <c r="S80" s="402"/>
      <c r="T80" s="402"/>
      <c r="U80" s="402"/>
      <c r="V80" s="415">
        <f t="shared" si="23"/>
        <v>1</v>
      </c>
      <c r="W80" s="402"/>
      <c r="X80" s="402"/>
      <c r="Y80" s="412">
        <f t="shared" si="24"/>
      </c>
      <c r="Z80" s="409" t="b">
        <f t="shared" si="28"/>
        <v>0</v>
      </c>
      <c r="AA80" s="384"/>
    </row>
    <row r="81" spans="1:27" s="483" customFormat="1" ht="25.5" customHeight="1" thickBot="1">
      <c r="A81" s="4"/>
      <c r="B81" s="5"/>
      <c r="C81" s="310"/>
      <c r="D81" s="310"/>
      <c r="E81" s="334"/>
      <c r="F81" s="334"/>
      <c r="G81" s="334"/>
      <c r="H81" s="334"/>
      <c r="I81" s="335"/>
      <c r="J81" s="338"/>
      <c r="K81" s="310"/>
      <c r="L81" s="310"/>
      <c r="M81" s="310"/>
      <c r="N81" s="310"/>
      <c r="O81" s="288"/>
      <c r="P81" s="9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384"/>
    </row>
    <row r="82" spans="1:27" s="483" customFormat="1" ht="4.5" customHeight="1" thickBot="1">
      <c r="A82" s="4"/>
      <c r="B82" s="5"/>
      <c r="C82" s="7"/>
      <c r="D82" s="5"/>
      <c r="E82" s="5"/>
      <c r="F82" s="5"/>
      <c r="G82" s="5"/>
      <c r="H82" s="5"/>
      <c r="I82" s="5"/>
      <c r="J82" s="5"/>
      <c r="K82" s="5"/>
      <c r="L82" s="5"/>
      <c r="M82" s="9"/>
      <c r="N82" s="9"/>
      <c r="O82" s="280"/>
      <c r="P82" s="9"/>
      <c r="Q82" s="402"/>
      <c r="R82" s="384"/>
      <c r="S82" s="384"/>
      <c r="T82" s="384"/>
      <c r="U82" s="384"/>
      <c r="V82" s="384"/>
      <c r="W82" s="384"/>
      <c r="X82" s="384"/>
      <c r="Y82" s="384"/>
      <c r="Z82" s="384"/>
      <c r="AA82" s="384"/>
    </row>
    <row r="83" spans="1:27" s="486" customFormat="1" ht="18" customHeight="1" thickBot="1">
      <c r="A83" s="207"/>
      <c r="B83" s="208"/>
      <c r="C83" s="302">
        <v>2</v>
      </c>
      <c r="D83" s="918" t="str">
        <f>Translations!$B$534&amp;" "&amp;C83&amp;":"</f>
        <v>Инсталация ПРЕДИ сливане, разделяне или прехвърляне 2:</v>
      </c>
      <c r="E83" s="918"/>
      <c r="F83" s="918"/>
      <c r="G83" s="918"/>
      <c r="H83" s="918"/>
      <c r="I83" s="918"/>
      <c r="J83" s="919"/>
      <c r="K83" s="898">
        <f>INDEX(A_InstallationData!$J$200:$J$273,MATCH($C83,A_InstallationData!$R$200:$R$273,0))</f>
      </c>
      <c r="L83" s="899"/>
      <c r="M83" s="899"/>
      <c r="N83" s="900"/>
      <c r="O83" s="304"/>
      <c r="P83" s="296"/>
      <c r="Q83" s="406"/>
      <c r="R83" s="406"/>
      <c r="S83" s="406"/>
      <c r="T83" s="384"/>
      <c r="U83" s="406"/>
      <c r="V83" s="406"/>
      <c r="W83" s="406"/>
      <c r="X83" s="406"/>
      <c r="Y83" s="406"/>
      <c r="Z83" s="408" t="s">
        <v>293</v>
      </c>
      <c r="AA83" s="384"/>
    </row>
    <row r="84" spans="1:27" s="483" customFormat="1" ht="18" customHeight="1">
      <c r="A84" s="4"/>
      <c r="B84" s="5"/>
      <c r="C84" s="7"/>
      <c r="D84" s="5"/>
      <c r="E84" s="9"/>
      <c r="F84" s="5"/>
      <c r="G84" s="5"/>
      <c r="H84" s="5"/>
      <c r="I84" s="5"/>
      <c r="J84" s="5"/>
      <c r="K84" s="5"/>
      <c r="L84" s="5"/>
      <c r="M84" s="901">
        <f>IF(CNTR_Merger&lt;&gt;TRUE,"",IF(OR(K83="",CNTR_MergerORSplitORTransfer=2),EUconst_NotRelevant,EUconst_Relevant))</f>
      </c>
      <c r="N84" s="901"/>
      <c r="O84" s="280"/>
      <c r="P84" s="9"/>
      <c r="Q84" s="402"/>
      <c r="R84" s="384"/>
      <c r="S84" s="384"/>
      <c r="T84" s="384"/>
      <c r="U84" s="384"/>
      <c r="V84" s="384"/>
      <c r="W84" s="384"/>
      <c r="X84" s="384"/>
      <c r="Y84" s="384"/>
      <c r="Z84" s="384"/>
      <c r="AA84" s="384"/>
    </row>
    <row r="85" spans="1:27" s="483" customFormat="1" ht="12.75" customHeight="1">
      <c r="A85" s="4"/>
      <c r="B85" s="5"/>
      <c r="C85" s="7"/>
      <c r="D85" s="5"/>
      <c r="E85" s="5"/>
      <c r="F85" s="5"/>
      <c r="G85" s="5"/>
      <c r="H85" s="5"/>
      <c r="I85" s="5"/>
      <c r="J85" s="5"/>
      <c r="K85" s="5"/>
      <c r="L85" s="5"/>
      <c r="M85" s="9"/>
      <c r="N85" s="9"/>
      <c r="O85" s="280"/>
      <c r="P85" s="9"/>
      <c r="Q85" s="402"/>
      <c r="R85" s="384"/>
      <c r="S85" s="384"/>
      <c r="T85" s="384"/>
      <c r="U85" s="384"/>
      <c r="V85" s="384"/>
      <c r="W85" s="384"/>
      <c r="X85" s="384"/>
      <c r="Y85" s="384"/>
      <c r="Z85" s="384"/>
      <c r="AA85" s="384"/>
    </row>
    <row r="86" spans="1:27" s="483" customFormat="1" ht="28.5" customHeight="1">
      <c r="A86" s="4"/>
      <c r="B86" s="5"/>
      <c r="C86" s="5"/>
      <c r="D86" s="193" t="s">
        <v>452</v>
      </c>
      <c r="E86" s="689" t="str">
        <f>Translations!$B$593</f>
        <v>Най-ново окончателно разпределено количество квоти без отчитане на корекционни коефициенти за евентуални частични спирания на дейности</v>
      </c>
      <c r="F86" s="688"/>
      <c r="G86" s="688"/>
      <c r="H86" s="688"/>
      <c r="I86" s="688"/>
      <c r="J86" s="688"/>
      <c r="K86" s="688"/>
      <c r="L86" s="688"/>
      <c r="M86" s="688"/>
      <c r="N86" s="688"/>
      <c r="O86" s="282"/>
      <c r="P86" s="342"/>
      <c r="Q86" s="402"/>
      <c r="R86" s="384"/>
      <c r="S86" s="384"/>
      <c r="T86" s="384"/>
      <c r="U86" s="384"/>
      <c r="V86" s="384"/>
      <c r="W86" s="384"/>
      <c r="X86" s="384"/>
      <c r="Y86" s="384"/>
      <c r="Z86" s="384"/>
      <c r="AA86" s="384"/>
    </row>
    <row r="87" spans="1:27" s="483" customFormat="1" ht="4.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9"/>
      <c r="N87" s="9"/>
      <c r="O87" s="288"/>
      <c r="P87" s="9"/>
      <c r="Q87" s="402"/>
      <c r="R87" s="384"/>
      <c r="S87" s="384"/>
      <c r="T87" s="384"/>
      <c r="U87" s="384"/>
      <c r="V87" s="384"/>
      <c r="W87" s="384"/>
      <c r="X87" s="384"/>
      <c r="Y87" s="384"/>
      <c r="Z87" s="384"/>
      <c r="AA87" s="384"/>
    </row>
    <row r="88" spans="1:27" s="483" customFormat="1" ht="12.75" customHeight="1" thickBot="1">
      <c r="A88" s="4"/>
      <c r="B88" s="5"/>
      <c r="C88" s="20"/>
      <c r="D88" s="803" t="str">
        <f>Translations!$B$402</f>
        <v>Подинсталация</v>
      </c>
      <c r="E88" s="842"/>
      <c r="F88" s="914"/>
      <c r="G88" s="211">
        <v>2013</v>
      </c>
      <c r="H88" s="211">
        <v>2014</v>
      </c>
      <c r="I88" s="211">
        <v>2015</v>
      </c>
      <c r="J88" s="211">
        <v>2016</v>
      </c>
      <c r="K88" s="211">
        <v>2017</v>
      </c>
      <c r="L88" s="211">
        <v>2018</v>
      </c>
      <c r="M88" s="211">
        <v>2019</v>
      </c>
      <c r="N88" s="211">
        <v>2020</v>
      </c>
      <c r="O88" s="288"/>
      <c r="P88" s="286"/>
      <c r="Q88" s="402"/>
      <c r="R88" s="384"/>
      <c r="S88" s="384"/>
      <c r="T88" s="410" t="s">
        <v>487</v>
      </c>
      <c r="U88" s="384"/>
      <c r="V88" s="410" t="s">
        <v>532</v>
      </c>
      <c r="W88" s="384"/>
      <c r="X88" s="411" t="s">
        <v>533</v>
      </c>
      <c r="Y88" s="384"/>
      <c r="Z88" s="408" t="s">
        <v>293</v>
      </c>
      <c r="AA88" s="384"/>
    </row>
    <row r="89" spans="1:27" s="483" customFormat="1" ht="12.75" customHeight="1" thickBot="1">
      <c r="A89" s="4"/>
      <c r="B89" s="5"/>
      <c r="C89" s="210">
        <v>0</v>
      </c>
      <c r="D89" s="892" t="str">
        <f>Translations!$B$501</f>
        <v>Етап преди започване</v>
      </c>
      <c r="E89" s="893"/>
      <c r="F89" s="894"/>
      <c r="G89" s="475"/>
      <c r="H89" s="475"/>
      <c r="I89" s="475"/>
      <c r="J89" s="475"/>
      <c r="K89" s="475"/>
      <c r="L89" s="475"/>
      <c r="M89" s="475"/>
      <c r="N89" s="475"/>
      <c r="O89" s="288"/>
      <c r="P89" s="286"/>
      <c r="Q89" s="412" t="str">
        <f aca="true" t="shared" si="29" ref="Q89:Q106">EUconst_CNTR_Finitial&amp;$V89&amp;"_"&amp;$D89</f>
        <v>FInitial_2_Етап преди започване</v>
      </c>
      <c r="R89" s="384"/>
      <c r="S89" s="384"/>
      <c r="T89" s="410"/>
      <c r="U89" s="384"/>
      <c r="V89" s="413">
        <f>C83</f>
        <v>2</v>
      </c>
      <c r="W89" s="384"/>
      <c r="X89" s="409" t="b">
        <f aca="true" t="shared" si="30" ref="X89:X106">COUNT(G89:N89)&gt;0</f>
        <v>0</v>
      </c>
      <c r="Y89" s="384"/>
      <c r="Z89" s="409" t="b">
        <f>M84=EUconst_NotRelevant</f>
        <v>0</v>
      </c>
      <c r="AA89" s="384"/>
    </row>
    <row r="90" spans="1:27" s="483" customFormat="1" ht="12.75" customHeight="1">
      <c r="A90" s="4"/>
      <c r="B90" s="5"/>
      <c r="C90" s="29">
        <v>1</v>
      </c>
      <c r="D90" s="915"/>
      <c r="E90" s="916"/>
      <c r="F90" s="917"/>
      <c r="G90" s="313"/>
      <c r="H90" s="313"/>
      <c r="I90" s="313"/>
      <c r="J90" s="313"/>
      <c r="K90" s="313"/>
      <c r="L90" s="313"/>
      <c r="M90" s="313"/>
      <c r="N90" s="313"/>
      <c r="O90" s="288"/>
      <c r="P90" s="286"/>
      <c r="Q90" s="412" t="str">
        <f t="shared" si="29"/>
        <v>FInitial_2_</v>
      </c>
      <c r="R90" s="384"/>
      <c r="S90" s="384"/>
      <c r="T90" s="413">
        <f>IF(OR(D90="",COUNTIF($D$17:D90,D90)&gt;1),"",MAX($T$17:T89)+1)</f>
      </c>
      <c r="U90" s="384"/>
      <c r="V90" s="414">
        <f aca="true" t="shared" si="31" ref="V90:V106">V89</f>
        <v>2</v>
      </c>
      <c r="W90" s="384"/>
      <c r="X90" s="409" t="b">
        <f t="shared" si="30"/>
        <v>0</v>
      </c>
      <c r="Y90" s="384"/>
      <c r="Z90" s="409" t="b">
        <f aca="true" t="shared" si="32" ref="Z90:Z107">Z89</f>
        <v>0</v>
      </c>
      <c r="AA90" s="384"/>
    </row>
    <row r="91" spans="1:27" s="483" customFormat="1" ht="12.75" customHeight="1">
      <c r="A91" s="4"/>
      <c r="B91" s="5"/>
      <c r="C91" s="29">
        <v>2</v>
      </c>
      <c r="D91" s="801"/>
      <c r="E91" s="818"/>
      <c r="F91" s="802"/>
      <c r="G91" s="312"/>
      <c r="H91" s="312"/>
      <c r="I91" s="312"/>
      <c r="J91" s="312"/>
      <c r="K91" s="312"/>
      <c r="L91" s="312"/>
      <c r="M91" s="312"/>
      <c r="N91" s="312"/>
      <c r="O91" s="288"/>
      <c r="P91" s="286"/>
      <c r="Q91" s="412" t="str">
        <f t="shared" si="29"/>
        <v>FInitial_2_</v>
      </c>
      <c r="R91" s="384"/>
      <c r="S91" s="384"/>
      <c r="T91" s="414">
        <f>IF(OR(D91="",COUNTIF($D$17:D91,D91)&gt;1),"",MAX($T$17:T90)+1)</f>
      </c>
      <c r="U91" s="384"/>
      <c r="V91" s="414">
        <f t="shared" si="31"/>
        <v>2</v>
      </c>
      <c r="W91" s="384"/>
      <c r="X91" s="409" t="b">
        <f t="shared" si="30"/>
        <v>0</v>
      </c>
      <c r="Y91" s="384"/>
      <c r="Z91" s="409" t="b">
        <f t="shared" si="32"/>
        <v>0</v>
      </c>
      <c r="AA91" s="384"/>
    </row>
    <row r="92" spans="1:27" s="483" customFormat="1" ht="12.75" customHeight="1">
      <c r="A92" s="4"/>
      <c r="B92" s="5"/>
      <c r="C92" s="29">
        <v>3</v>
      </c>
      <c r="D92" s="801"/>
      <c r="E92" s="818"/>
      <c r="F92" s="802"/>
      <c r="G92" s="312"/>
      <c r="H92" s="312"/>
      <c r="I92" s="312"/>
      <c r="J92" s="312"/>
      <c r="K92" s="312"/>
      <c r="L92" s="312"/>
      <c r="M92" s="312"/>
      <c r="N92" s="312"/>
      <c r="O92" s="288"/>
      <c r="P92" s="286"/>
      <c r="Q92" s="412" t="str">
        <f t="shared" si="29"/>
        <v>FInitial_2_</v>
      </c>
      <c r="R92" s="384"/>
      <c r="S92" s="384"/>
      <c r="T92" s="414">
        <f>IF(OR(D92="",COUNTIF($D$17:D92,D92)&gt;1),"",MAX($T$17:T91)+1)</f>
      </c>
      <c r="U92" s="384"/>
      <c r="V92" s="414">
        <f t="shared" si="31"/>
        <v>2</v>
      </c>
      <c r="W92" s="384"/>
      <c r="X92" s="409" t="b">
        <f t="shared" si="30"/>
        <v>0</v>
      </c>
      <c r="Y92" s="384"/>
      <c r="Z92" s="409" t="b">
        <f t="shared" si="32"/>
        <v>0</v>
      </c>
      <c r="AA92" s="384"/>
    </row>
    <row r="93" spans="1:27" s="483" customFormat="1" ht="12.75" customHeight="1">
      <c r="A93" s="4"/>
      <c r="B93" s="5"/>
      <c r="C93" s="29">
        <v>4</v>
      </c>
      <c r="D93" s="801"/>
      <c r="E93" s="818"/>
      <c r="F93" s="802"/>
      <c r="G93" s="312"/>
      <c r="H93" s="312"/>
      <c r="I93" s="312"/>
      <c r="J93" s="312"/>
      <c r="K93" s="312"/>
      <c r="L93" s="312"/>
      <c r="M93" s="312"/>
      <c r="N93" s="312"/>
      <c r="O93" s="288"/>
      <c r="P93" s="286"/>
      <c r="Q93" s="412" t="str">
        <f t="shared" si="29"/>
        <v>FInitial_2_</v>
      </c>
      <c r="R93" s="384"/>
      <c r="S93" s="384"/>
      <c r="T93" s="414">
        <f>IF(OR(D93="",COUNTIF($D$17:D93,D93)&gt;1),"",MAX($T$17:T92)+1)</f>
      </c>
      <c r="U93" s="384"/>
      <c r="V93" s="414">
        <f t="shared" si="31"/>
        <v>2</v>
      </c>
      <c r="W93" s="384"/>
      <c r="X93" s="409" t="b">
        <f t="shared" si="30"/>
        <v>0</v>
      </c>
      <c r="Y93" s="384"/>
      <c r="Z93" s="409" t="b">
        <f t="shared" si="32"/>
        <v>0</v>
      </c>
      <c r="AA93" s="384"/>
    </row>
    <row r="94" spans="1:27" s="483" customFormat="1" ht="12.75" customHeight="1">
      <c r="A94" s="4"/>
      <c r="B94" s="5"/>
      <c r="C94" s="29">
        <v>5</v>
      </c>
      <c r="D94" s="801"/>
      <c r="E94" s="818"/>
      <c r="F94" s="802"/>
      <c r="G94" s="312"/>
      <c r="H94" s="312"/>
      <c r="I94" s="312"/>
      <c r="J94" s="312"/>
      <c r="K94" s="312"/>
      <c r="L94" s="312"/>
      <c r="M94" s="312"/>
      <c r="N94" s="312"/>
      <c r="O94" s="288"/>
      <c r="P94" s="286"/>
      <c r="Q94" s="412" t="str">
        <f t="shared" si="29"/>
        <v>FInitial_2_</v>
      </c>
      <c r="R94" s="384"/>
      <c r="S94" s="384"/>
      <c r="T94" s="414">
        <f>IF(OR(D94="",COUNTIF($D$17:D94,D94)&gt;1),"",MAX($T$17:T93)+1)</f>
      </c>
      <c r="U94" s="384"/>
      <c r="V94" s="414">
        <f t="shared" si="31"/>
        <v>2</v>
      </c>
      <c r="W94" s="384"/>
      <c r="X94" s="409" t="b">
        <f t="shared" si="30"/>
        <v>0</v>
      </c>
      <c r="Y94" s="384"/>
      <c r="Z94" s="409" t="b">
        <f t="shared" si="32"/>
        <v>0</v>
      </c>
      <c r="AA94" s="384"/>
    </row>
    <row r="95" spans="1:27" s="483" customFormat="1" ht="12.75" customHeight="1">
      <c r="A95" s="4"/>
      <c r="B95" s="5"/>
      <c r="C95" s="29">
        <v>6</v>
      </c>
      <c r="D95" s="801"/>
      <c r="E95" s="818"/>
      <c r="F95" s="802"/>
      <c r="G95" s="312"/>
      <c r="H95" s="312"/>
      <c r="I95" s="312"/>
      <c r="J95" s="312"/>
      <c r="K95" s="312"/>
      <c r="L95" s="312"/>
      <c r="M95" s="312"/>
      <c r="N95" s="312"/>
      <c r="O95" s="288"/>
      <c r="P95" s="9"/>
      <c r="Q95" s="412" t="str">
        <f t="shared" si="29"/>
        <v>FInitial_2_</v>
      </c>
      <c r="R95" s="384"/>
      <c r="S95" s="384"/>
      <c r="T95" s="414">
        <f>IF(OR(D95="",COUNTIF($D$17:D95,D95)&gt;1),"",MAX($T$17:T94)+1)</f>
      </c>
      <c r="U95" s="384"/>
      <c r="V95" s="414">
        <f t="shared" si="31"/>
        <v>2</v>
      </c>
      <c r="W95" s="384"/>
      <c r="X95" s="409" t="b">
        <f t="shared" si="30"/>
        <v>0</v>
      </c>
      <c r="Y95" s="384"/>
      <c r="Z95" s="409" t="b">
        <f t="shared" si="32"/>
        <v>0</v>
      </c>
      <c r="AA95" s="384"/>
    </row>
    <row r="96" spans="1:27" s="483" customFormat="1" ht="12.75" customHeight="1">
      <c r="A96" s="4"/>
      <c r="B96" s="5"/>
      <c r="C96" s="29">
        <v>7</v>
      </c>
      <c r="D96" s="801"/>
      <c r="E96" s="818"/>
      <c r="F96" s="802"/>
      <c r="G96" s="312"/>
      <c r="H96" s="312"/>
      <c r="I96" s="312"/>
      <c r="J96" s="312"/>
      <c r="K96" s="312"/>
      <c r="L96" s="312"/>
      <c r="M96" s="312"/>
      <c r="N96" s="312"/>
      <c r="O96" s="288"/>
      <c r="P96" s="9"/>
      <c r="Q96" s="412" t="str">
        <f t="shared" si="29"/>
        <v>FInitial_2_</v>
      </c>
      <c r="R96" s="384"/>
      <c r="S96" s="384"/>
      <c r="T96" s="414">
        <f>IF(OR(D96="",COUNTIF($D$17:D96,D96)&gt;1),"",MAX($T$17:T95)+1)</f>
      </c>
      <c r="U96" s="384"/>
      <c r="V96" s="414">
        <f t="shared" si="31"/>
        <v>2</v>
      </c>
      <c r="W96" s="384"/>
      <c r="X96" s="409" t="b">
        <f t="shared" si="30"/>
        <v>0</v>
      </c>
      <c r="Y96" s="384"/>
      <c r="Z96" s="409" t="b">
        <f t="shared" si="32"/>
        <v>0</v>
      </c>
      <c r="AA96" s="384"/>
    </row>
    <row r="97" spans="1:27" s="483" customFormat="1" ht="12.75" customHeight="1">
      <c r="A97" s="4"/>
      <c r="B97" s="5"/>
      <c r="C97" s="29">
        <v>8</v>
      </c>
      <c r="D97" s="801"/>
      <c r="E97" s="818"/>
      <c r="F97" s="802"/>
      <c r="G97" s="312"/>
      <c r="H97" s="312"/>
      <c r="I97" s="312"/>
      <c r="J97" s="312"/>
      <c r="K97" s="312"/>
      <c r="L97" s="312"/>
      <c r="M97" s="312"/>
      <c r="N97" s="312"/>
      <c r="O97" s="288"/>
      <c r="P97" s="9"/>
      <c r="Q97" s="412" t="str">
        <f t="shared" si="29"/>
        <v>FInitial_2_</v>
      </c>
      <c r="R97" s="384"/>
      <c r="S97" s="384"/>
      <c r="T97" s="414">
        <f>IF(OR(D97="",COUNTIF($D$17:D97,D97)&gt;1),"",MAX($T$17:T96)+1)</f>
      </c>
      <c r="U97" s="384"/>
      <c r="V97" s="414">
        <f t="shared" si="31"/>
        <v>2</v>
      </c>
      <c r="W97" s="384"/>
      <c r="X97" s="409" t="b">
        <f t="shared" si="30"/>
        <v>0</v>
      </c>
      <c r="Y97" s="384"/>
      <c r="Z97" s="409" t="b">
        <f t="shared" si="32"/>
        <v>0</v>
      </c>
      <c r="AA97" s="384"/>
    </row>
    <row r="98" spans="1:27" s="483" customFormat="1" ht="12.75" customHeight="1">
      <c r="A98" s="4"/>
      <c r="B98" s="5"/>
      <c r="C98" s="29">
        <v>9</v>
      </c>
      <c r="D98" s="801"/>
      <c r="E98" s="818"/>
      <c r="F98" s="802"/>
      <c r="G98" s="312"/>
      <c r="H98" s="312"/>
      <c r="I98" s="312"/>
      <c r="J98" s="312"/>
      <c r="K98" s="312"/>
      <c r="L98" s="312"/>
      <c r="M98" s="312"/>
      <c r="N98" s="312"/>
      <c r="O98" s="288"/>
      <c r="P98" s="9"/>
      <c r="Q98" s="412" t="str">
        <f t="shared" si="29"/>
        <v>FInitial_2_</v>
      </c>
      <c r="R98" s="384"/>
      <c r="S98" s="384"/>
      <c r="T98" s="414">
        <f>IF(OR(D98="",COUNTIF($D$17:D98,D98)&gt;1),"",MAX($T$17:T97)+1)</f>
      </c>
      <c r="U98" s="384"/>
      <c r="V98" s="414">
        <f t="shared" si="31"/>
        <v>2</v>
      </c>
      <c r="W98" s="384"/>
      <c r="X98" s="409" t="b">
        <f t="shared" si="30"/>
        <v>0</v>
      </c>
      <c r="Y98" s="384"/>
      <c r="Z98" s="409" t="b">
        <f t="shared" si="32"/>
        <v>0</v>
      </c>
      <c r="AA98" s="384"/>
    </row>
    <row r="99" spans="1:27" s="483" customFormat="1" ht="12.75" customHeight="1" thickBot="1">
      <c r="A99" s="4"/>
      <c r="B99" s="5"/>
      <c r="C99" s="25">
        <v>10</v>
      </c>
      <c r="D99" s="824"/>
      <c r="E99" s="825"/>
      <c r="F99" s="826"/>
      <c r="G99" s="187"/>
      <c r="H99" s="187"/>
      <c r="I99" s="187"/>
      <c r="J99" s="187"/>
      <c r="K99" s="187"/>
      <c r="L99" s="187"/>
      <c r="M99" s="187"/>
      <c r="N99" s="187"/>
      <c r="O99" s="288"/>
      <c r="P99" s="9"/>
      <c r="Q99" s="412" t="str">
        <f t="shared" si="29"/>
        <v>FInitial_2_</v>
      </c>
      <c r="R99" s="384"/>
      <c r="S99" s="384"/>
      <c r="T99" s="415">
        <f>IF(OR(D99="",COUNTIF($D$17:D99,D99)&gt;1),"",MAX($T$17:T98)+1)</f>
      </c>
      <c r="U99" s="384"/>
      <c r="V99" s="414">
        <f t="shared" si="31"/>
        <v>2</v>
      </c>
      <c r="W99" s="384"/>
      <c r="X99" s="409" t="b">
        <f t="shared" si="30"/>
        <v>0</v>
      </c>
      <c r="Y99" s="384"/>
      <c r="Z99" s="409" t="b">
        <f t="shared" si="32"/>
        <v>0</v>
      </c>
      <c r="AA99" s="384"/>
    </row>
    <row r="100" spans="1:27" s="606" customFormat="1" ht="39.75" customHeight="1">
      <c r="A100" s="599"/>
      <c r="B100" s="337"/>
      <c r="C100" s="600">
        <v>11</v>
      </c>
      <c r="D100" s="889" t="str">
        <f aca="true" t="shared" si="33" ref="D100:D105">INDEX(EUconst_FallBackListNames,C100-10)</f>
        <v>Подинсталация с топлинен показател, с риск от изтичане на въглерод</v>
      </c>
      <c r="E100" s="890"/>
      <c r="F100" s="891"/>
      <c r="G100" s="608"/>
      <c r="H100" s="608"/>
      <c r="I100" s="608"/>
      <c r="J100" s="608"/>
      <c r="K100" s="608"/>
      <c r="L100" s="608"/>
      <c r="M100" s="608"/>
      <c r="N100" s="608"/>
      <c r="O100" s="360"/>
      <c r="P100" s="373"/>
      <c r="Q100" s="602" t="str">
        <f t="shared" si="29"/>
        <v>FInitial_2_Подинсталация с топлинен показател, с риск от изтичане на въглерод</v>
      </c>
      <c r="R100" s="603"/>
      <c r="S100" s="603"/>
      <c r="T100" s="603"/>
      <c r="U100" s="603"/>
      <c r="V100" s="604">
        <f t="shared" si="31"/>
        <v>2</v>
      </c>
      <c r="W100" s="603"/>
      <c r="X100" s="605" t="b">
        <f t="shared" si="30"/>
        <v>0</v>
      </c>
      <c r="Y100" s="603"/>
      <c r="Z100" s="605" t="b">
        <f t="shared" si="32"/>
        <v>0</v>
      </c>
      <c r="AA100" s="603"/>
    </row>
    <row r="101" spans="1:27" s="606" customFormat="1" ht="39.75" customHeight="1">
      <c r="A101" s="599"/>
      <c r="B101" s="337"/>
      <c r="C101" s="600">
        <v>12</v>
      </c>
      <c r="D101" s="886" t="str">
        <f t="shared" si="33"/>
        <v>Подинсталация с топлинен показател, без риск от изтичане на въглерод</v>
      </c>
      <c r="E101" s="887"/>
      <c r="F101" s="888"/>
      <c r="G101" s="601"/>
      <c r="H101" s="601"/>
      <c r="I101" s="601"/>
      <c r="J101" s="601"/>
      <c r="K101" s="601"/>
      <c r="L101" s="601"/>
      <c r="M101" s="601"/>
      <c r="N101" s="601"/>
      <c r="O101" s="360"/>
      <c r="P101" s="373"/>
      <c r="Q101" s="602" t="str">
        <f t="shared" si="29"/>
        <v>FInitial_2_Подинсталация с топлинен показател, без риск от изтичане на въглерод</v>
      </c>
      <c r="R101" s="603"/>
      <c r="S101" s="603"/>
      <c r="T101" s="603"/>
      <c r="U101" s="603"/>
      <c r="V101" s="604">
        <f t="shared" si="31"/>
        <v>2</v>
      </c>
      <c r="W101" s="603"/>
      <c r="X101" s="605" t="b">
        <f t="shared" si="30"/>
        <v>0</v>
      </c>
      <c r="Y101" s="603"/>
      <c r="Z101" s="605" t="b">
        <f t="shared" si="32"/>
        <v>0</v>
      </c>
      <c r="AA101" s="603"/>
    </row>
    <row r="102" spans="1:27" s="606" customFormat="1" ht="39.75" customHeight="1">
      <c r="A102" s="599"/>
      <c r="B102" s="337"/>
      <c r="C102" s="600">
        <v>13</v>
      </c>
      <c r="D102" s="886" t="str">
        <f t="shared" si="33"/>
        <v>Подинсталация с горивен показател, с риск от изтичане на въглерод</v>
      </c>
      <c r="E102" s="887"/>
      <c r="F102" s="888"/>
      <c r="G102" s="601"/>
      <c r="H102" s="601"/>
      <c r="I102" s="601"/>
      <c r="J102" s="601"/>
      <c r="K102" s="601"/>
      <c r="L102" s="601"/>
      <c r="M102" s="601"/>
      <c r="N102" s="601"/>
      <c r="O102" s="360"/>
      <c r="P102" s="373"/>
      <c r="Q102" s="602" t="str">
        <f t="shared" si="29"/>
        <v>FInitial_2_Подинсталация с горивен показател, с риск от изтичане на въглерод</v>
      </c>
      <c r="R102" s="603"/>
      <c r="S102" s="603"/>
      <c r="T102" s="603"/>
      <c r="U102" s="603"/>
      <c r="V102" s="604">
        <f t="shared" si="31"/>
        <v>2</v>
      </c>
      <c r="W102" s="603"/>
      <c r="X102" s="605" t="b">
        <f t="shared" si="30"/>
        <v>0</v>
      </c>
      <c r="Y102" s="603"/>
      <c r="Z102" s="605" t="b">
        <f t="shared" si="32"/>
        <v>0</v>
      </c>
      <c r="AA102" s="603"/>
    </row>
    <row r="103" spans="1:27" s="606" customFormat="1" ht="39.75" customHeight="1">
      <c r="A103" s="599"/>
      <c r="B103" s="337"/>
      <c r="C103" s="600">
        <v>14</v>
      </c>
      <c r="D103" s="886" t="str">
        <f t="shared" si="33"/>
        <v>Подинсталация с горивен показател, без риск от изтичане на въглерод</v>
      </c>
      <c r="E103" s="887"/>
      <c r="F103" s="888"/>
      <c r="G103" s="601"/>
      <c r="H103" s="601"/>
      <c r="I103" s="601"/>
      <c r="J103" s="601"/>
      <c r="K103" s="601"/>
      <c r="L103" s="601"/>
      <c r="M103" s="601"/>
      <c r="N103" s="601"/>
      <c r="O103" s="360"/>
      <c r="P103" s="373"/>
      <c r="Q103" s="602" t="str">
        <f t="shared" si="29"/>
        <v>FInitial_2_Подинсталация с горивен показател, без риск от изтичане на въглерод</v>
      </c>
      <c r="R103" s="603"/>
      <c r="S103" s="603"/>
      <c r="T103" s="603"/>
      <c r="U103" s="603"/>
      <c r="V103" s="604">
        <f t="shared" si="31"/>
        <v>2</v>
      </c>
      <c r="W103" s="603"/>
      <c r="X103" s="605" t="b">
        <f t="shared" si="30"/>
        <v>0</v>
      </c>
      <c r="Y103" s="603"/>
      <c r="Z103" s="605" t="b">
        <f t="shared" si="32"/>
        <v>0</v>
      </c>
      <c r="AA103" s="603"/>
    </row>
    <row r="104" spans="1:27" s="606" customFormat="1" ht="39.75" customHeight="1">
      <c r="A104" s="599"/>
      <c r="B104" s="337"/>
      <c r="C104" s="600">
        <v>15</v>
      </c>
      <c r="D104" s="886" t="str">
        <f t="shared" si="33"/>
        <v>Подинсталация с технологични емисии, с риск от изтичане на въглерод</v>
      </c>
      <c r="E104" s="887"/>
      <c r="F104" s="888"/>
      <c r="G104" s="601"/>
      <c r="H104" s="601"/>
      <c r="I104" s="601"/>
      <c r="J104" s="601"/>
      <c r="K104" s="601"/>
      <c r="L104" s="601"/>
      <c r="M104" s="601"/>
      <c r="N104" s="601"/>
      <c r="O104" s="360"/>
      <c r="P104" s="373"/>
      <c r="Q104" s="602" t="str">
        <f t="shared" si="29"/>
        <v>FInitial_2_Подинсталация с технологични емисии, с риск от изтичане на въглерод</v>
      </c>
      <c r="R104" s="603"/>
      <c r="S104" s="603"/>
      <c r="T104" s="603"/>
      <c r="U104" s="603"/>
      <c r="V104" s="604">
        <f t="shared" si="31"/>
        <v>2</v>
      </c>
      <c r="W104" s="603"/>
      <c r="X104" s="605" t="b">
        <f t="shared" si="30"/>
        <v>0</v>
      </c>
      <c r="Y104" s="603"/>
      <c r="Z104" s="605" t="b">
        <f t="shared" si="32"/>
        <v>0</v>
      </c>
      <c r="AA104" s="603"/>
    </row>
    <row r="105" spans="1:27" s="606" customFormat="1" ht="39.75" customHeight="1">
      <c r="A105" s="599"/>
      <c r="B105" s="337"/>
      <c r="C105" s="600">
        <v>16</v>
      </c>
      <c r="D105" s="880" t="str">
        <f t="shared" si="33"/>
        <v>Подинсталация с технологични емисии, без риск от изтичане на въглерод</v>
      </c>
      <c r="E105" s="881"/>
      <c r="F105" s="882"/>
      <c r="G105" s="607"/>
      <c r="H105" s="607"/>
      <c r="I105" s="607"/>
      <c r="J105" s="607"/>
      <c r="K105" s="607"/>
      <c r="L105" s="607"/>
      <c r="M105" s="607"/>
      <c r="N105" s="607"/>
      <c r="O105" s="360"/>
      <c r="P105" s="373"/>
      <c r="Q105" s="602" t="str">
        <f t="shared" si="29"/>
        <v>FInitial_2_Подинсталация с технологични емисии, без риск от изтичане на въглерод</v>
      </c>
      <c r="R105" s="603"/>
      <c r="S105" s="603"/>
      <c r="T105" s="603"/>
      <c r="U105" s="603"/>
      <c r="V105" s="604">
        <f t="shared" si="31"/>
        <v>2</v>
      </c>
      <c r="W105" s="603"/>
      <c r="X105" s="605" t="b">
        <f t="shared" si="30"/>
        <v>0</v>
      </c>
      <c r="Y105" s="603"/>
      <c r="Z105" s="605" t="b">
        <f t="shared" si="32"/>
        <v>0</v>
      </c>
      <c r="AA105" s="603"/>
    </row>
    <row r="106" spans="1:27" s="483" customFormat="1" ht="12.75" customHeight="1" thickBot="1">
      <c r="A106" s="4"/>
      <c r="B106" s="5"/>
      <c r="C106" s="374">
        <v>17</v>
      </c>
      <c r="D106" s="892" t="str">
        <f>EUconst_PrivateHouseholds</f>
        <v>За частни жилища</v>
      </c>
      <c r="E106" s="893"/>
      <c r="F106" s="894"/>
      <c r="G106" s="376"/>
      <c r="H106" s="376"/>
      <c r="I106" s="376"/>
      <c r="J106" s="376"/>
      <c r="K106" s="376"/>
      <c r="L106" s="376"/>
      <c r="M106" s="376"/>
      <c r="N106" s="376"/>
      <c r="O106" s="288"/>
      <c r="P106" s="9"/>
      <c r="Q106" s="412" t="str">
        <f t="shared" si="29"/>
        <v>FInitial_2_За частни жилища</v>
      </c>
      <c r="R106" s="384"/>
      <c r="S106" s="384"/>
      <c r="T106" s="384"/>
      <c r="U106" s="384"/>
      <c r="V106" s="415">
        <f t="shared" si="31"/>
        <v>2</v>
      </c>
      <c r="W106" s="384"/>
      <c r="X106" s="409" t="b">
        <f t="shared" si="30"/>
        <v>0</v>
      </c>
      <c r="Y106" s="384"/>
      <c r="Z106" s="409" t="b">
        <f t="shared" si="32"/>
        <v>0</v>
      </c>
      <c r="AA106" s="384"/>
    </row>
    <row r="107" spans="1:27" s="483" customFormat="1" ht="27.75" customHeight="1">
      <c r="A107" s="4"/>
      <c r="B107" s="5"/>
      <c r="C107" s="18"/>
      <c r="D107" s="895" t="str">
        <f>EUconst_TotFreeAlloc</f>
        <v>Окончателно общо безплатно отпуснато количество квоти</v>
      </c>
      <c r="E107" s="896"/>
      <c r="F107" s="897"/>
      <c r="G107" s="212">
        <f aca="true" t="shared" si="34" ref="G107:N107">IF(COUNT(G89:G106)&gt;0,SUM(G89:G106),"")</f>
      </c>
      <c r="H107" s="212">
        <f t="shared" si="34"/>
      </c>
      <c r="I107" s="212">
        <f t="shared" si="34"/>
      </c>
      <c r="J107" s="212">
        <f t="shared" si="34"/>
      </c>
      <c r="K107" s="212">
        <f t="shared" si="34"/>
      </c>
      <c r="L107" s="212">
        <f t="shared" si="34"/>
      </c>
      <c r="M107" s="212">
        <f t="shared" si="34"/>
      </c>
      <c r="N107" s="212">
        <f t="shared" si="34"/>
      </c>
      <c r="O107" s="288"/>
      <c r="P107" s="9"/>
      <c r="Q107" s="402"/>
      <c r="R107" s="384"/>
      <c r="S107" s="384"/>
      <c r="T107" s="384"/>
      <c r="U107" s="384"/>
      <c r="V107" s="384"/>
      <c r="W107" s="384"/>
      <c r="X107" s="384"/>
      <c r="Y107" s="384"/>
      <c r="Z107" s="409" t="b">
        <f t="shared" si="32"/>
        <v>0</v>
      </c>
      <c r="AA107" s="384"/>
    </row>
    <row r="108" spans="1:27" s="483" customFormat="1" ht="12.75" customHeight="1">
      <c r="A108" s="4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9"/>
      <c r="N108" s="9"/>
      <c r="O108" s="280"/>
      <c r="P108" s="9"/>
      <c r="Q108" s="402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</row>
    <row r="109" spans="1:27" s="483" customFormat="1" ht="24.75" customHeight="1">
      <c r="A109" s="4"/>
      <c r="B109" s="5"/>
      <c r="C109" s="5"/>
      <c r="D109" s="193" t="s">
        <v>243</v>
      </c>
      <c r="E109" s="689" t="str">
        <f>Translations!$B$595</f>
        <v>Най-ново окончателно разпределено количество квоти с отчитане на корекционни коефициенти за евентуални частични спирания на дейности</v>
      </c>
      <c r="F109" s="688"/>
      <c r="G109" s="688"/>
      <c r="H109" s="688"/>
      <c r="I109" s="688"/>
      <c r="J109" s="688"/>
      <c r="K109" s="688"/>
      <c r="L109" s="688"/>
      <c r="M109" s="688"/>
      <c r="N109" s="688"/>
      <c r="O109" s="282"/>
      <c r="P109" s="342"/>
      <c r="Q109" s="402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</row>
    <row r="110" spans="1:27" s="483" customFormat="1" ht="4.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9"/>
      <c r="N110" s="9"/>
      <c r="O110" s="288"/>
      <c r="P110" s="9"/>
      <c r="Q110" s="402"/>
      <c r="R110" s="402"/>
      <c r="S110" s="402"/>
      <c r="T110" s="402"/>
      <c r="U110" s="402"/>
      <c r="V110" s="402"/>
      <c r="W110" s="402"/>
      <c r="X110" s="402"/>
      <c r="Y110" s="384"/>
      <c r="Z110" s="384"/>
      <c r="AA110" s="384"/>
    </row>
    <row r="111" spans="1:27" s="483" customFormat="1" ht="12.75" customHeight="1">
      <c r="A111" s="4"/>
      <c r="B111" s="5"/>
      <c r="C111" s="20"/>
      <c r="D111" s="803" t="str">
        <f>Translations!$B$402</f>
        <v>Подинсталация</v>
      </c>
      <c r="E111" s="842"/>
      <c r="F111" s="914"/>
      <c r="G111" s="211">
        <v>2013</v>
      </c>
      <c r="H111" s="211">
        <v>2014</v>
      </c>
      <c r="I111" s="211">
        <v>2015</v>
      </c>
      <c r="J111" s="211">
        <v>2016</v>
      </c>
      <c r="K111" s="211">
        <v>2017</v>
      </c>
      <c r="L111" s="211">
        <v>2018</v>
      </c>
      <c r="M111" s="211">
        <v>2019</v>
      </c>
      <c r="N111" s="211">
        <v>2020</v>
      </c>
      <c r="O111" s="288"/>
      <c r="P111" s="286"/>
      <c r="Q111" s="402"/>
      <c r="R111" s="384"/>
      <c r="S111" s="384"/>
      <c r="T111" s="384"/>
      <c r="U111" s="119" t="s">
        <v>524</v>
      </c>
      <c r="V111" s="119" t="s">
        <v>521</v>
      </c>
      <c r="W111" s="10" t="s">
        <v>525</v>
      </c>
      <c r="X111" s="402" t="s">
        <v>555</v>
      </c>
      <c r="Y111" s="402" t="str">
        <f>EUconst_Unit</f>
        <v>Единица мярка</v>
      </c>
      <c r="Z111" s="408" t="s">
        <v>293</v>
      </c>
      <c r="AA111" s="384"/>
    </row>
    <row r="112" spans="1:27" s="483" customFormat="1" ht="12.75" customHeight="1" thickBot="1">
      <c r="A112" s="4"/>
      <c r="B112" s="5"/>
      <c r="C112" s="210">
        <v>0</v>
      </c>
      <c r="D112" s="892" t="str">
        <f>Translations!$B$501</f>
        <v>Етап преди започване</v>
      </c>
      <c r="E112" s="893"/>
      <c r="F112" s="894"/>
      <c r="G112" s="475"/>
      <c r="H112" s="475"/>
      <c r="I112" s="475"/>
      <c r="J112" s="475"/>
      <c r="K112" s="475"/>
      <c r="L112" s="475"/>
      <c r="M112" s="475"/>
      <c r="N112" s="475"/>
      <c r="O112" s="288"/>
      <c r="P112" s="286"/>
      <c r="Q112" s="402"/>
      <c r="R112" s="384"/>
      <c r="S112" s="384"/>
      <c r="T112" s="384"/>
      <c r="U112" s="412">
        <f>""</f>
      </c>
      <c r="V112" s="412"/>
      <c r="W112" s="412"/>
      <c r="X112" s="412"/>
      <c r="Y112" s="412"/>
      <c r="Z112" s="409" t="b">
        <f>Z107</f>
        <v>0</v>
      </c>
      <c r="AA112" s="384"/>
    </row>
    <row r="113" spans="1:27" s="483" customFormat="1" ht="12.75" customHeight="1">
      <c r="A113" s="4"/>
      <c r="B113" s="5"/>
      <c r="C113" s="29">
        <v>1</v>
      </c>
      <c r="D113" s="902">
        <f aca="true" t="shared" si="35" ref="D113:D122">IF(D90="","",D90)</f>
      </c>
      <c r="E113" s="903"/>
      <c r="F113" s="904"/>
      <c r="G113" s="313"/>
      <c r="H113" s="313"/>
      <c r="I113" s="313"/>
      <c r="J113" s="313"/>
      <c r="K113" s="313"/>
      <c r="L113" s="313"/>
      <c r="M113" s="313"/>
      <c r="N113" s="313"/>
      <c r="O113" s="288"/>
      <c r="P113" s="286"/>
      <c r="Q113" s="402"/>
      <c r="R113" s="384"/>
      <c r="S113" s="384"/>
      <c r="T113" s="384"/>
      <c r="U113" s="412">
        <f aca="true" t="shared" si="36" ref="U113:U122">IF(D113="","",INDEX(EUconst_BMlistCLstatus,MATCH(D113,EUconst_BMlistNames,0)))</f>
      </c>
      <c r="V113" s="412">
        <f aca="true" t="shared" si="37" ref="V113:V122">IF(D113="","",INDEX(EUconst_BMlistNumberOfBM,MATCH(D113,EUconst_BMlistNames,0)))</f>
      </c>
      <c r="W113" s="412">
        <f aca="true" t="shared" si="38" ref="W113:W122">IF(D113="","",INDEX(EUconst_BMlistBMvalues,MATCH(D113,EUconst_BMlistNames,0)))</f>
      </c>
      <c r="X113" s="412">
        <f aca="true" t="shared" si="39" ref="X113:X128">IF(D113="","",EUconst_EUA&amp;" / "&amp;Y113)</f>
      </c>
      <c r="Y113" s="412">
        <f aca="true" t="shared" si="40" ref="Y113:Y122">IF(D113="","",INDEX(EUconst_BMlistUnits,MATCH(D113,EUconst_BMlistNames,0)))</f>
      </c>
      <c r="Z113" s="409" t="b">
        <f aca="true" t="shared" si="41" ref="Z113:Z130">Z112</f>
        <v>0</v>
      </c>
      <c r="AA113" s="384"/>
    </row>
    <row r="114" spans="1:27" s="483" customFormat="1" ht="12.75" customHeight="1">
      <c r="A114" s="4"/>
      <c r="B114" s="5"/>
      <c r="C114" s="29">
        <v>2</v>
      </c>
      <c r="D114" s="877">
        <f t="shared" si="35"/>
      </c>
      <c r="E114" s="878"/>
      <c r="F114" s="879"/>
      <c r="G114" s="312"/>
      <c r="H114" s="312"/>
      <c r="I114" s="312"/>
      <c r="J114" s="312"/>
      <c r="K114" s="312"/>
      <c r="L114" s="312"/>
      <c r="M114" s="312"/>
      <c r="N114" s="312"/>
      <c r="O114" s="288"/>
      <c r="P114" s="286"/>
      <c r="Q114" s="402"/>
      <c r="R114" s="384"/>
      <c r="S114" s="384"/>
      <c r="T114" s="384"/>
      <c r="U114" s="412">
        <f t="shared" si="36"/>
      </c>
      <c r="V114" s="412">
        <f t="shared" si="37"/>
      </c>
      <c r="W114" s="412">
        <f t="shared" si="38"/>
      </c>
      <c r="X114" s="412">
        <f t="shared" si="39"/>
      </c>
      <c r="Y114" s="412">
        <f t="shared" si="40"/>
      </c>
      <c r="Z114" s="409" t="b">
        <f t="shared" si="41"/>
        <v>0</v>
      </c>
      <c r="AA114" s="384"/>
    </row>
    <row r="115" spans="1:27" s="483" customFormat="1" ht="12.75" customHeight="1">
      <c r="A115" s="4"/>
      <c r="B115" s="5"/>
      <c r="C115" s="29">
        <v>3</v>
      </c>
      <c r="D115" s="877">
        <f t="shared" si="35"/>
      </c>
      <c r="E115" s="878"/>
      <c r="F115" s="879"/>
      <c r="G115" s="312"/>
      <c r="H115" s="312"/>
      <c r="I115" s="312"/>
      <c r="J115" s="312"/>
      <c r="K115" s="312"/>
      <c r="L115" s="312"/>
      <c r="M115" s="312"/>
      <c r="N115" s="312"/>
      <c r="O115" s="288"/>
      <c r="P115" s="286"/>
      <c r="Q115" s="402"/>
      <c r="R115" s="384"/>
      <c r="S115" s="384"/>
      <c r="T115" s="384"/>
      <c r="U115" s="412">
        <f t="shared" si="36"/>
      </c>
      <c r="V115" s="412">
        <f t="shared" si="37"/>
      </c>
      <c r="W115" s="412">
        <f t="shared" si="38"/>
      </c>
      <c r="X115" s="412">
        <f t="shared" si="39"/>
      </c>
      <c r="Y115" s="412">
        <f t="shared" si="40"/>
      </c>
      <c r="Z115" s="409" t="b">
        <f t="shared" si="41"/>
        <v>0</v>
      </c>
      <c r="AA115" s="384"/>
    </row>
    <row r="116" spans="1:27" s="483" customFormat="1" ht="12.75" customHeight="1">
      <c r="A116" s="4"/>
      <c r="B116" s="5"/>
      <c r="C116" s="29">
        <v>4</v>
      </c>
      <c r="D116" s="877">
        <f t="shared" si="35"/>
      </c>
      <c r="E116" s="878"/>
      <c r="F116" s="879"/>
      <c r="G116" s="312"/>
      <c r="H116" s="312"/>
      <c r="I116" s="312"/>
      <c r="J116" s="312"/>
      <c r="K116" s="312"/>
      <c r="L116" s="312"/>
      <c r="M116" s="312"/>
      <c r="N116" s="312"/>
      <c r="O116" s="288"/>
      <c r="P116" s="286"/>
      <c r="Q116" s="402"/>
      <c r="R116" s="384"/>
      <c r="S116" s="384"/>
      <c r="T116" s="384"/>
      <c r="U116" s="412">
        <f t="shared" si="36"/>
      </c>
      <c r="V116" s="412">
        <f t="shared" si="37"/>
      </c>
      <c r="W116" s="412">
        <f t="shared" si="38"/>
      </c>
      <c r="X116" s="412">
        <f t="shared" si="39"/>
      </c>
      <c r="Y116" s="412">
        <f t="shared" si="40"/>
      </c>
      <c r="Z116" s="409" t="b">
        <f t="shared" si="41"/>
        <v>0</v>
      </c>
      <c r="AA116" s="384"/>
    </row>
    <row r="117" spans="1:27" s="483" customFormat="1" ht="12.75" customHeight="1">
      <c r="A117" s="4"/>
      <c r="B117" s="5"/>
      <c r="C117" s="29">
        <v>5</v>
      </c>
      <c r="D117" s="877">
        <f t="shared" si="35"/>
      </c>
      <c r="E117" s="878"/>
      <c r="F117" s="879"/>
      <c r="G117" s="312"/>
      <c r="H117" s="312"/>
      <c r="I117" s="312"/>
      <c r="J117" s="312"/>
      <c r="K117" s="312"/>
      <c r="L117" s="312"/>
      <c r="M117" s="312"/>
      <c r="N117" s="312"/>
      <c r="O117" s="288"/>
      <c r="P117" s="286"/>
      <c r="Q117" s="402"/>
      <c r="R117" s="384"/>
      <c r="S117" s="384"/>
      <c r="T117" s="384"/>
      <c r="U117" s="412">
        <f t="shared" si="36"/>
      </c>
      <c r="V117" s="412">
        <f t="shared" si="37"/>
      </c>
      <c r="W117" s="412">
        <f t="shared" si="38"/>
      </c>
      <c r="X117" s="412">
        <f t="shared" si="39"/>
      </c>
      <c r="Y117" s="412">
        <f t="shared" si="40"/>
      </c>
      <c r="Z117" s="409" t="b">
        <f t="shared" si="41"/>
        <v>0</v>
      </c>
      <c r="AA117" s="384"/>
    </row>
    <row r="118" spans="1:27" s="483" customFormat="1" ht="12.75" customHeight="1">
      <c r="A118" s="4"/>
      <c r="B118" s="5"/>
      <c r="C118" s="29">
        <v>6</v>
      </c>
      <c r="D118" s="877">
        <f t="shared" si="35"/>
      </c>
      <c r="E118" s="878"/>
      <c r="F118" s="879"/>
      <c r="G118" s="312"/>
      <c r="H118" s="312"/>
      <c r="I118" s="312"/>
      <c r="J118" s="312"/>
      <c r="K118" s="312"/>
      <c r="L118" s="312"/>
      <c r="M118" s="312"/>
      <c r="N118" s="312"/>
      <c r="O118" s="288"/>
      <c r="P118" s="9"/>
      <c r="Q118" s="402"/>
      <c r="R118" s="384"/>
      <c r="S118" s="384"/>
      <c r="T118" s="384"/>
      <c r="U118" s="412">
        <f t="shared" si="36"/>
      </c>
      <c r="V118" s="412">
        <f t="shared" si="37"/>
      </c>
      <c r="W118" s="412">
        <f t="shared" si="38"/>
      </c>
      <c r="X118" s="412">
        <f t="shared" si="39"/>
      </c>
      <c r="Y118" s="412">
        <f t="shared" si="40"/>
      </c>
      <c r="Z118" s="409" t="b">
        <f t="shared" si="41"/>
        <v>0</v>
      </c>
      <c r="AA118" s="384"/>
    </row>
    <row r="119" spans="1:27" s="483" customFormat="1" ht="12.75" customHeight="1">
      <c r="A119" s="4"/>
      <c r="B119" s="5"/>
      <c r="C119" s="29">
        <v>7</v>
      </c>
      <c r="D119" s="877">
        <f t="shared" si="35"/>
      </c>
      <c r="E119" s="878"/>
      <c r="F119" s="879"/>
      <c r="G119" s="312"/>
      <c r="H119" s="312"/>
      <c r="I119" s="312"/>
      <c r="J119" s="312"/>
      <c r="K119" s="312"/>
      <c r="L119" s="312"/>
      <c r="M119" s="312"/>
      <c r="N119" s="312"/>
      <c r="O119" s="288"/>
      <c r="P119" s="9"/>
      <c r="Q119" s="402"/>
      <c r="R119" s="384"/>
      <c r="S119" s="384"/>
      <c r="T119" s="384"/>
      <c r="U119" s="412">
        <f t="shared" si="36"/>
      </c>
      <c r="V119" s="412">
        <f t="shared" si="37"/>
      </c>
      <c r="W119" s="412">
        <f t="shared" si="38"/>
      </c>
      <c r="X119" s="412">
        <f t="shared" si="39"/>
      </c>
      <c r="Y119" s="412">
        <f t="shared" si="40"/>
      </c>
      <c r="Z119" s="409" t="b">
        <f t="shared" si="41"/>
        <v>0</v>
      </c>
      <c r="AA119" s="384"/>
    </row>
    <row r="120" spans="1:27" s="483" customFormat="1" ht="12.75" customHeight="1">
      <c r="A120" s="4"/>
      <c r="B120" s="5"/>
      <c r="C120" s="29">
        <v>8</v>
      </c>
      <c r="D120" s="877">
        <f t="shared" si="35"/>
      </c>
      <c r="E120" s="878"/>
      <c r="F120" s="879"/>
      <c r="G120" s="312"/>
      <c r="H120" s="312"/>
      <c r="I120" s="312"/>
      <c r="J120" s="312"/>
      <c r="K120" s="312"/>
      <c r="L120" s="312"/>
      <c r="M120" s="312"/>
      <c r="N120" s="312"/>
      <c r="O120" s="288"/>
      <c r="P120" s="9"/>
      <c r="Q120" s="402"/>
      <c r="R120" s="384"/>
      <c r="S120" s="384"/>
      <c r="T120" s="384"/>
      <c r="U120" s="412">
        <f t="shared" si="36"/>
      </c>
      <c r="V120" s="412">
        <f t="shared" si="37"/>
      </c>
      <c r="W120" s="412">
        <f t="shared" si="38"/>
      </c>
      <c r="X120" s="412">
        <f t="shared" si="39"/>
      </c>
      <c r="Y120" s="412">
        <f t="shared" si="40"/>
      </c>
      <c r="Z120" s="409" t="b">
        <f t="shared" si="41"/>
        <v>0</v>
      </c>
      <c r="AA120" s="384"/>
    </row>
    <row r="121" spans="1:27" s="483" customFormat="1" ht="12.75" customHeight="1">
      <c r="A121" s="4"/>
      <c r="B121" s="5"/>
      <c r="C121" s="29">
        <v>9</v>
      </c>
      <c r="D121" s="877">
        <f t="shared" si="35"/>
      </c>
      <c r="E121" s="878"/>
      <c r="F121" s="879"/>
      <c r="G121" s="312"/>
      <c r="H121" s="312"/>
      <c r="I121" s="312"/>
      <c r="J121" s="312"/>
      <c r="K121" s="312"/>
      <c r="L121" s="312"/>
      <c r="M121" s="312"/>
      <c r="N121" s="312"/>
      <c r="O121" s="288"/>
      <c r="P121" s="9"/>
      <c r="Q121" s="402"/>
      <c r="R121" s="384"/>
      <c r="S121" s="384"/>
      <c r="T121" s="384"/>
      <c r="U121" s="412">
        <f t="shared" si="36"/>
      </c>
      <c r="V121" s="412">
        <f t="shared" si="37"/>
      </c>
      <c r="W121" s="412">
        <f t="shared" si="38"/>
      </c>
      <c r="X121" s="412">
        <f t="shared" si="39"/>
      </c>
      <c r="Y121" s="412">
        <f t="shared" si="40"/>
      </c>
      <c r="Z121" s="409" t="b">
        <f t="shared" si="41"/>
        <v>0</v>
      </c>
      <c r="AA121" s="384"/>
    </row>
    <row r="122" spans="1:27" s="483" customFormat="1" ht="12.75" customHeight="1">
      <c r="A122" s="4"/>
      <c r="B122" s="5"/>
      <c r="C122" s="25">
        <v>10</v>
      </c>
      <c r="D122" s="908">
        <f t="shared" si="35"/>
      </c>
      <c r="E122" s="909"/>
      <c r="F122" s="910"/>
      <c r="G122" s="187"/>
      <c r="H122" s="187"/>
      <c r="I122" s="187"/>
      <c r="J122" s="187"/>
      <c r="K122" s="187"/>
      <c r="L122" s="187"/>
      <c r="M122" s="187"/>
      <c r="N122" s="187"/>
      <c r="O122" s="288"/>
      <c r="P122" s="9"/>
      <c r="Q122" s="402"/>
      <c r="R122" s="384"/>
      <c r="S122" s="384"/>
      <c r="T122" s="384"/>
      <c r="U122" s="412">
        <f t="shared" si="36"/>
      </c>
      <c r="V122" s="412">
        <f t="shared" si="37"/>
      </c>
      <c r="W122" s="412">
        <f t="shared" si="38"/>
      </c>
      <c r="X122" s="412">
        <f t="shared" si="39"/>
      </c>
      <c r="Y122" s="412">
        <f t="shared" si="40"/>
      </c>
      <c r="Z122" s="409" t="b">
        <f t="shared" si="41"/>
        <v>0</v>
      </c>
      <c r="AA122" s="384"/>
    </row>
    <row r="123" spans="1:27" s="606" customFormat="1" ht="39.75" customHeight="1">
      <c r="A123" s="599"/>
      <c r="B123" s="337"/>
      <c r="C123" s="600">
        <v>11</v>
      </c>
      <c r="D123" s="889" t="str">
        <f aca="true" t="shared" si="42" ref="D123:D128">INDEX(EUconst_FallBackListNames,C123-10)</f>
        <v>Подинсталация с топлинен показател, с риск от изтичане на въглерод</v>
      </c>
      <c r="E123" s="890"/>
      <c r="F123" s="891"/>
      <c r="G123" s="608"/>
      <c r="H123" s="608"/>
      <c r="I123" s="608"/>
      <c r="J123" s="608"/>
      <c r="K123" s="608"/>
      <c r="L123" s="608"/>
      <c r="M123" s="608"/>
      <c r="N123" s="608"/>
      <c r="O123" s="360"/>
      <c r="P123" s="373"/>
      <c r="Q123" s="416"/>
      <c r="R123" s="603"/>
      <c r="S123" s="603"/>
      <c r="T123" s="603"/>
      <c r="U123" s="602" t="b">
        <v>1</v>
      </c>
      <c r="V123" s="602">
        <f>EUwideConstants!$C$304</f>
        <v>91</v>
      </c>
      <c r="W123" s="602">
        <f>EUwideConstants!$H$304</f>
        <v>62.3</v>
      </c>
      <c r="X123" s="602" t="str">
        <f t="shared" si="39"/>
        <v>EUA / TJ</v>
      </c>
      <c r="Y123" s="602" t="str">
        <f>EUconst_TJ</f>
        <v>TJ</v>
      </c>
      <c r="Z123" s="605" t="b">
        <f t="shared" si="41"/>
        <v>0</v>
      </c>
      <c r="AA123" s="603"/>
    </row>
    <row r="124" spans="1:27" s="606" customFormat="1" ht="39.75" customHeight="1">
      <c r="A124" s="599"/>
      <c r="B124" s="337"/>
      <c r="C124" s="600">
        <v>12</v>
      </c>
      <c r="D124" s="886" t="str">
        <f t="shared" si="42"/>
        <v>Подинсталация с топлинен показател, без риск от изтичане на въглерод</v>
      </c>
      <c r="E124" s="887"/>
      <c r="F124" s="888"/>
      <c r="G124" s="601"/>
      <c r="H124" s="601"/>
      <c r="I124" s="601"/>
      <c r="J124" s="601"/>
      <c r="K124" s="601"/>
      <c r="L124" s="601"/>
      <c r="M124" s="601"/>
      <c r="N124" s="601"/>
      <c r="O124" s="360"/>
      <c r="P124" s="373"/>
      <c r="Q124" s="416"/>
      <c r="R124" s="603"/>
      <c r="S124" s="603"/>
      <c r="T124" s="603"/>
      <c r="U124" s="602" t="b">
        <v>0</v>
      </c>
      <c r="V124" s="602">
        <f>EUwideConstants!$C$305</f>
        <v>92</v>
      </c>
      <c r="W124" s="602">
        <f>EUwideConstants!$H$305</f>
        <v>62.3</v>
      </c>
      <c r="X124" s="602" t="str">
        <f t="shared" si="39"/>
        <v>EUA / TJ</v>
      </c>
      <c r="Y124" s="602" t="str">
        <f>EUconst_TJ</f>
        <v>TJ</v>
      </c>
      <c r="Z124" s="605" t="b">
        <f t="shared" si="41"/>
        <v>0</v>
      </c>
      <c r="AA124" s="603"/>
    </row>
    <row r="125" spans="1:27" s="606" customFormat="1" ht="39.75" customHeight="1">
      <c r="A125" s="599"/>
      <c r="B125" s="337"/>
      <c r="C125" s="600">
        <v>13</v>
      </c>
      <c r="D125" s="886" t="str">
        <f t="shared" si="42"/>
        <v>Подинсталация с горивен показател, с риск от изтичане на въглерод</v>
      </c>
      <c r="E125" s="887"/>
      <c r="F125" s="888"/>
      <c r="G125" s="601"/>
      <c r="H125" s="601"/>
      <c r="I125" s="601"/>
      <c r="J125" s="601"/>
      <c r="K125" s="601"/>
      <c r="L125" s="601"/>
      <c r="M125" s="601"/>
      <c r="N125" s="601"/>
      <c r="O125" s="360"/>
      <c r="P125" s="373"/>
      <c r="Q125" s="416"/>
      <c r="R125" s="603"/>
      <c r="S125" s="603"/>
      <c r="T125" s="603"/>
      <c r="U125" s="602" t="b">
        <v>1</v>
      </c>
      <c r="V125" s="602">
        <f>EUwideConstants!$C$306</f>
        <v>93</v>
      </c>
      <c r="W125" s="602">
        <f>EUwideConstants!$H$306</f>
        <v>56.1</v>
      </c>
      <c r="X125" s="602" t="str">
        <f t="shared" si="39"/>
        <v>EUA / TJ</v>
      </c>
      <c r="Y125" s="602" t="str">
        <f>EUconst_TJ</f>
        <v>TJ</v>
      </c>
      <c r="Z125" s="605" t="b">
        <f t="shared" si="41"/>
        <v>0</v>
      </c>
      <c r="AA125" s="603"/>
    </row>
    <row r="126" spans="1:27" s="606" customFormat="1" ht="39.75" customHeight="1">
      <c r="A126" s="599"/>
      <c r="B126" s="337"/>
      <c r="C126" s="600">
        <v>14</v>
      </c>
      <c r="D126" s="886" t="str">
        <f t="shared" si="42"/>
        <v>Подинсталация с горивен показател, без риск от изтичане на въглерод</v>
      </c>
      <c r="E126" s="887"/>
      <c r="F126" s="888"/>
      <c r="G126" s="601"/>
      <c r="H126" s="601"/>
      <c r="I126" s="601"/>
      <c r="J126" s="601"/>
      <c r="K126" s="601"/>
      <c r="L126" s="601"/>
      <c r="M126" s="601"/>
      <c r="N126" s="601"/>
      <c r="O126" s="360"/>
      <c r="P126" s="373"/>
      <c r="Q126" s="416"/>
      <c r="R126" s="603"/>
      <c r="S126" s="603"/>
      <c r="T126" s="603"/>
      <c r="U126" s="602" t="b">
        <v>0</v>
      </c>
      <c r="V126" s="602">
        <f>EUwideConstants!$C$307</f>
        <v>94</v>
      </c>
      <c r="W126" s="602">
        <f>EUwideConstants!$H$307</f>
        <v>56.1</v>
      </c>
      <c r="X126" s="602" t="str">
        <f t="shared" si="39"/>
        <v>EUA / TJ</v>
      </c>
      <c r="Y126" s="602" t="str">
        <f>EUconst_TJ</f>
        <v>TJ</v>
      </c>
      <c r="Z126" s="605" t="b">
        <f t="shared" si="41"/>
        <v>0</v>
      </c>
      <c r="AA126" s="603"/>
    </row>
    <row r="127" spans="1:27" s="606" customFormat="1" ht="39.75" customHeight="1">
      <c r="A127" s="599"/>
      <c r="B127" s="337"/>
      <c r="C127" s="600">
        <v>15</v>
      </c>
      <c r="D127" s="886" t="str">
        <f t="shared" si="42"/>
        <v>Подинсталация с технологични емисии, с риск от изтичане на въглерод</v>
      </c>
      <c r="E127" s="887"/>
      <c r="F127" s="888"/>
      <c r="G127" s="601"/>
      <c r="H127" s="601"/>
      <c r="I127" s="601"/>
      <c r="J127" s="601"/>
      <c r="K127" s="601"/>
      <c r="L127" s="601"/>
      <c r="M127" s="601"/>
      <c r="N127" s="601"/>
      <c r="O127" s="360"/>
      <c r="P127" s="373"/>
      <c r="Q127" s="416"/>
      <c r="R127" s="603"/>
      <c r="S127" s="603"/>
      <c r="T127" s="603"/>
      <c r="U127" s="602" t="b">
        <v>1</v>
      </c>
      <c r="V127" s="602">
        <f>EUwideConstants!$C$308</f>
        <v>95</v>
      </c>
      <c r="W127" s="602">
        <f>EUwideConstants!$H$308</f>
        <v>0.97</v>
      </c>
      <c r="X127" s="602" t="str">
        <f t="shared" si="39"/>
        <v>EUA / t CO2e</v>
      </c>
      <c r="Y127" s="602" t="str">
        <f>EUconst_tCO2e</f>
        <v>t CO2e</v>
      </c>
      <c r="Z127" s="605" t="b">
        <f t="shared" si="41"/>
        <v>0</v>
      </c>
      <c r="AA127" s="603"/>
    </row>
    <row r="128" spans="1:27" s="606" customFormat="1" ht="39.75" customHeight="1">
      <c r="A128" s="599"/>
      <c r="B128" s="337"/>
      <c r="C128" s="600">
        <v>16</v>
      </c>
      <c r="D128" s="880" t="str">
        <f t="shared" si="42"/>
        <v>Подинсталация с технологични емисии, без риск от изтичане на въглерод</v>
      </c>
      <c r="E128" s="881"/>
      <c r="F128" s="882"/>
      <c r="G128" s="607"/>
      <c r="H128" s="607"/>
      <c r="I128" s="607"/>
      <c r="J128" s="607"/>
      <c r="K128" s="607"/>
      <c r="L128" s="607"/>
      <c r="M128" s="607"/>
      <c r="N128" s="607"/>
      <c r="O128" s="360"/>
      <c r="P128" s="373"/>
      <c r="Q128" s="416"/>
      <c r="R128" s="603"/>
      <c r="S128" s="603"/>
      <c r="T128" s="603"/>
      <c r="U128" s="602" t="b">
        <v>0</v>
      </c>
      <c r="V128" s="602">
        <f>EUwideConstants!$C$309</f>
        <v>96</v>
      </c>
      <c r="W128" s="602">
        <f>EUwideConstants!$H$309</f>
        <v>0.97</v>
      </c>
      <c r="X128" s="602" t="str">
        <f t="shared" si="39"/>
        <v>EUA / t CO2e</v>
      </c>
      <c r="Y128" s="602" t="str">
        <f>EUconst_tCO2e</f>
        <v>t CO2e</v>
      </c>
      <c r="Z128" s="605" t="b">
        <f t="shared" si="41"/>
        <v>0</v>
      </c>
      <c r="AA128" s="603"/>
    </row>
    <row r="129" spans="1:27" s="483" customFormat="1" ht="12.75" customHeight="1" thickBot="1">
      <c r="A129" s="4"/>
      <c r="B129" s="5"/>
      <c r="C129" s="374">
        <v>17</v>
      </c>
      <c r="D129" s="892" t="str">
        <f>EUconst_PrivateHouseholds</f>
        <v>За частни жилища</v>
      </c>
      <c r="E129" s="893"/>
      <c r="F129" s="894"/>
      <c r="G129" s="376"/>
      <c r="H129" s="376"/>
      <c r="I129" s="376"/>
      <c r="J129" s="376"/>
      <c r="K129" s="376"/>
      <c r="L129" s="376"/>
      <c r="M129" s="376"/>
      <c r="N129" s="376"/>
      <c r="O129" s="288"/>
      <c r="P129" s="9"/>
      <c r="Q129" s="402"/>
      <c r="R129" s="384"/>
      <c r="S129" s="384"/>
      <c r="T129" s="384"/>
      <c r="U129" s="412">
        <f>""</f>
      </c>
      <c r="V129" s="412"/>
      <c r="W129" s="412"/>
      <c r="X129" s="412"/>
      <c r="Y129" s="412"/>
      <c r="Z129" s="409" t="b">
        <f t="shared" si="41"/>
        <v>0</v>
      </c>
      <c r="AA129" s="384"/>
    </row>
    <row r="130" spans="1:27" s="483" customFormat="1" ht="27.75" customHeight="1">
      <c r="A130" s="4"/>
      <c r="B130" s="5"/>
      <c r="C130" s="18"/>
      <c r="D130" s="895" t="str">
        <f>EUconst_TotFreeAlloc</f>
        <v>Окончателно общо безплатно отпуснато количество квоти</v>
      </c>
      <c r="E130" s="896"/>
      <c r="F130" s="897"/>
      <c r="G130" s="212">
        <f aca="true" t="shared" si="43" ref="G130:N130">IF(COUNT(G112:G129)&gt;0,SUM(G112:G129),"")</f>
      </c>
      <c r="H130" s="212">
        <f t="shared" si="43"/>
      </c>
      <c r="I130" s="212">
        <f t="shared" si="43"/>
      </c>
      <c r="J130" s="212">
        <f t="shared" si="43"/>
      </c>
      <c r="K130" s="212">
        <f t="shared" si="43"/>
      </c>
      <c r="L130" s="212">
        <f t="shared" si="43"/>
      </c>
      <c r="M130" s="212">
        <f t="shared" si="43"/>
      </c>
      <c r="N130" s="212">
        <f t="shared" si="43"/>
      </c>
      <c r="O130" s="288"/>
      <c r="P130" s="9"/>
      <c r="Q130" s="402"/>
      <c r="R130" s="402"/>
      <c r="S130" s="402"/>
      <c r="T130" s="402"/>
      <c r="U130" s="402"/>
      <c r="V130" s="402"/>
      <c r="W130" s="402"/>
      <c r="X130" s="402"/>
      <c r="Y130" s="384"/>
      <c r="Z130" s="409" t="b">
        <f t="shared" si="41"/>
        <v>0</v>
      </c>
      <c r="AA130" s="384"/>
    </row>
    <row r="131" spans="1:27" s="483" customFormat="1" ht="12.7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9"/>
      <c r="N131" s="9"/>
      <c r="O131" s="288"/>
      <c r="P131" s="9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384"/>
    </row>
    <row r="132" spans="1:27" s="483" customFormat="1" ht="12.75" customHeight="1">
      <c r="A132" s="4"/>
      <c r="B132" s="5"/>
      <c r="C132" s="5"/>
      <c r="D132" s="455" t="s">
        <v>449</v>
      </c>
      <c r="E132" s="689" t="str">
        <f>Translations!$B$597</f>
        <v>Първоначален инсталиран капацитет (мощност) и първоначално годишно равнище на активност</v>
      </c>
      <c r="F132" s="688"/>
      <c r="G132" s="688"/>
      <c r="H132" s="688"/>
      <c r="I132" s="688"/>
      <c r="J132" s="688"/>
      <c r="K132" s="688"/>
      <c r="L132" s="688"/>
      <c r="M132" s="688"/>
      <c r="N132" s="688"/>
      <c r="O132" s="282"/>
      <c r="P132" s="342"/>
      <c r="Q132" s="402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</row>
    <row r="133" spans="1:27" s="483" customFormat="1" ht="4.5" customHeight="1">
      <c r="A133" s="4"/>
      <c r="B133" s="5"/>
      <c r="C133" s="5"/>
      <c r="D133" s="193"/>
      <c r="E133" s="742"/>
      <c r="F133" s="667"/>
      <c r="G133" s="667"/>
      <c r="H133" s="667"/>
      <c r="I133" s="667"/>
      <c r="J133" s="667"/>
      <c r="K133" s="667"/>
      <c r="L133" s="667"/>
      <c r="M133" s="667"/>
      <c r="N133" s="667"/>
      <c r="O133" s="282"/>
      <c r="P133" s="288"/>
      <c r="Q133" s="402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</row>
    <row r="134" spans="1:27" s="487" customFormat="1" ht="50.25" customHeight="1" thickBot="1">
      <c r="A134" s="357"/>
      <c r="B134" s="337"/>
      <c r="C134" s="358"/>
      <c r="D134" s="911" t="str">
        <f>Translations!$B$402</f>
        <v>Подинсталация</v>
      </c>
      <c r="E134" s="912"/>
      <c r="F134" s="912"/>
      <c r="G134" s="913"/>
      <c r="H134" s="66" t="str">
        <f>EUconst_Unit</f>
        <v>Единица мярка</v>
      </c>
      <c r="I134" s="66" t="str">
        <f>Translations!$B$471</f>
        <v>Първоначален инсталиран капацитет</v>
      </c>
      <c r="J134" s="359" t="str">
        <f>Translations!$B$481</f>
        <v>Първоначално годишно ниво на активност </v>
      </c>
      <c r="K134" s="351" t="str">
        <f>Translations!$B$477</f>
        <v>съобщение за грешка</v>
      </c>
      <c r="L134" s="288"/>
      <c r="M134" s="288"/>
      <c r="N134" s="288"/>
      <c r="O134" s="360"/>
      <c r="P134" s="361"/>
      <c r="Q134" s="416"/>
      <c r="R134" s="416"/>
      <c r="S134" s="416"/>
      <c r="T134" s="416"/>
      <c r="U134" s="416"/>
      <c r="V134" s="410" t="s">
        <v>532</v>
      </c>
      <c r="W134" s="416"/>
      <c r="X134" s="416"/>
      <c r="Y134" s="416"/>
      <c r="Z134" s="416"/>
      <c r="AA134" s="417"/>
    </row>
    <row r="135" spans="1:27" s="483" customFormat="1" ht="12.75" customHeight="1">
      <c r="A135" s="4"/>
      <c r="B135" s="5"/>
      <c r="C135" s="29">
        <v>1</v>
      </c>
      <c r="D135" s="905">
        <f aca="true" t="shared" si="44" ref="D135:D144">IF(D90="","",D90)</f>
      </c>
      <c r="E135" s="906"/>
      <c r="F135" s="906"/>
      <c r="G135" s="907"/>
      <c r="H135" s="65">
        <f aca="true" t="shared" si="45" ref="H135:H144">IF(D135&lt;&gt;"",INDEX(EUconst_BMlistUnits,MATCH($D135,EUconst_BMlistNames,0))&amp;" / "&amp;EUconst_Year,"")</f>
      </c>
      <c r="I135" s="491"/>
      <c r="J135" s="491"/>
      <c r="K135" s="362">
        <f aca="true" t="shared" si="46" ref="K135:K144">IF(D135="","",IF(COUNT(I135:J135)&lt;2,EUconst_Incomplete,""))</f>
      </c>
      <c r="L135" s="288"/>
      <c r="M135" s="288"/>
      <c r="N135" s="288"/>
      <c r="O135" s="288"/>
      <c r="P135" s="286"/>
      <c r="Q135" s="412" t="str">
        <f aca="true" t="shared" si="47" ref="Q135:Q150">EUconst_CNTR_CAPINI&amp;$V135&amp;"_"&amp;$D135</f>
        <v>CAPINI_2_</v>
      </c>
      <c r="R135" s="412" t="str">
        <f aca="true" t="shared" si="48" ref="R135:R150">EUconst_CNTR_HAL&amp;$V135&amp;"_"&amp;$D135</f>
        <v>HAL_2_</v>
      </c>
      <c r="S135" s="412" t="str">
        <f aca="true" t="shared" si="49" ref="S135:S144">EUconst_CNTR_HAL&amp;$V135&amp;"_"&amp;$C135</f>
        <v>HAL_2_1</v>
      </c>
      <c r="T135" s="402"/>
      <c r="U135" s="402"/>
      <c r="V135" s="413">
        <f>V106</f>
        <v>2</v>
      </c>
      <c r="W135" s="402"/>
      <c r="X135" s="402"/>
      <c r="Y135" s="412">
        <f>M84</f>
      </c>
      <c r="Z135" s="409" t="b">
        <f>AND(Y135&lt;&gt;"",D90="")</f>
        <v>0</v>
      </c>
      <c r="AA135" s="384"/>
    </row>
    <row r="136" spans="1:27" s="483" customFormat="1" ht="12.75" customHeight="1">
      <c r="A136" s="4"/>
      <c r="B136" s="5"/>
      <c r="C136" s="29">
        <v>2</v>
      </c>
      <c r="D136" s="877">
        <f t="shared" si="44"/>
      </c>
      <c r="E136" s="878"/>
      <c r="F136" s="878"/>
      <c r="G136" s="879"/>
      <c r="H136" s="64">
        <f t="shared" si="45"/>
      </c>
      <c r="I136" s="492"/>
      <c r="J136" s="492"/>
      <c r="K136" s="363">
        <f t="shared" si="46"/>
      </c>
      <c r="L136" s="288"/>
      <c r="M136" s="288"/>
      <c r="N136" s="288"/>
      <c r="O136" s="288"/>
      <c r="P136" s="286"/>
      <c r="Q136" s="412" t="str">
        <f t="shared" si="47"/>
        <v>CAPINI_2_</v>
      </c>
      <c r="R136" s="412" t="str">
        <f t="shared" si="48"/>
        <v>HAL_2_</v>
      </c>
      <c r="S136" s="412" t="str">
        <f t="shared" si="49"/>
        <v>HAL_2_2</v>
      </c>
      <c r="T136" s="402"/>
      <c r="U136" s="402"/>
      <c r="V136" s="414">
        <f aca="true" t="shared" si="50" ref="V136:V150">V135</f>
        <v>2</v>
      </c>
      <c r="W136" s="402"/>
      <c r="X136" s="402"/>
      <c r="Y136" s="412">
        <f>Y135</f>
      </c>
      <c r="Z136" s="409" t="b">
        <f aca="true" t="shared" si="51" ref="Z136:Z144">AND(Y136&lt;&gt;"",D91="")</f>
        <v>0</v>
      </c>
      <c r="AA136" s="384"/>
    </row>
    <row r="137" spans="1:27" s="483" customFormat="1" ht="12.75" customHeight="1">
      <c r="A137" s="4"/>
      <c r="B137" s="5"/>
      <c r="C137" s="29">
        <v>3</v>
      </c>
      <c r="D137" s="877">
        <f t="shared" si="44"/>
      </c>
      <c r="E137" s="878"/>
      <c r="F137" s="878"/>
      <c r="G137" s="879"/>
      <c r="H137" s="64">
        <f t="shared" si="45"/>
      </c>
      <c r="I137" s="492"/>
      <c r="J137" s="492"/>
      <c r="K137" s="363">
        <f t="shared" si="46"/>
      </c>
      <c r="L137" s="288"/>
      <c r="M137" s="288"/>
      <c r="N137" s="288"/>
      <c r="O137" s="288"/>
      <c r="P137" s="286"/>
      <c r="Q137" s="412" t="str">
        <f t="shared" si="47"/>
        <v>CAPINI_2_</v>
      </c>
      <c r="R137" s="412" t="str">
        <f t="shared" si="48"/>
        <v>HAL_2_</v>
      </c>
      <c r="S137" s="412" t="str">
        <f t="shared" si="49"/>
        <v>HAL_2_3</v>
      </c>
      <c r="T137" s="402"/>
      <c r="U137" s="402"/>
      <c r="V137" s="414">
        <f t="shared" si="50"/>
        <v>2</v>
      </c>
      <c r="W137" s="402"/>
      <c r="X137" s="402"/>
      <c r="Y137" s="412">
        <f aca="true" t="shared" si="52" ref="Y137:Y150">Y136</f>
      </c>
      <c r="Z137" s="409" t="b">
        <f t="shared" si="51"/>
        <v>0</v>
      </c>
      <c r="AA137" s="384"/>
    </row>
    <row r="138" spans="1:27" s="483" customFormat="1" ht="12.75" customHeight="1">
      <c r="A138" s="4"/>
      <c r="B138" s="5"/>
      <c r="C138" s="29">
        <v>4</v>
      </c>
      <c r="D138" s="877">
        <f t="shared" si="44"/>
      </c>
      <c r="E138" s="878"/>
      <c r="F138" s="878"/>
      <c r="G138" s="879"/>
      <c r="H138" s="64">
        <f t="shared" si="45"/>
      </c>
      <c r="I138" s="492"/>
      <c r="J138" s="492"/>
      <c r="K138" s="363">
        <f t="shared" si="46"/>
      </c>
      <c r="L138" s="288"/>
      <c r="M138" s="288"/>
      <c r="N138" s="288"/>
      <c r="O138" s="288"/>
      <c r="P138" s="286"/>
      <c r="Q138" s="412" t="str">
        <f t="shared" si="47"/>
        <v>CAPINI_2_</v>
      </c>
      <c r="R138" s="412" t="str">
        <f t="shared" si="48"/>
        <v>HAL_2_</v>
      </c>
      <c r="S138" s="412" t="str">
        <f t="shared" si="49"/>
        <v>HAL_2_4</v>
      </c>
      <c r="T138" s="402"/>
      <c r="U138" s="402"/>
      <c r="V138" s="414">
        <f t="shared" si="50"/>
        <v>2</v>
      </c>
      <c r="W138" s="402"/>
      <c r="X138" s="402"/>
      <c r="Y138" s="412">
        <f t="shared" si="52"/>
      </c>
      <c r="Z138" s="409" t="b">
        <f t="shared" si="51"/>
        <v>0</v>
      </c>
      <c r="AA138" s="384"/>
    </row>
    <row r="139" spans="1:27" s="483" customFormat="1" ht="12.75" customHeight="1">
      <c r="A139" s="4"/>
      <c r="B139" s="5"/>
      <c r="C139" s="29">
        <v>5</v>
      </c>
      <c r="D139" s="877">
        <f t="shared" si="44"/>
      </c>
      <c r="E139" s="878"/>
      <c r="F139" s="878"/>
      <c r="G139" s="879"/>
      <c r="H139" s="64">
        <f t="shared" si="45"/>
      </c>
      <c r="I139" s="492"/>
      <c r="J139" s="492"/>
      <c r="K139" s="363">
        <f t="shared" si="46"/>
      </c>
      <c r="L139" s="288"/>
      <c r="M139" s="288"/>
      <c r="N139" s="342"/>
      <c r="O139" s="288"/>
      <c r="P139" s="286"/>
      <c r="Q139" s="412" t="str">
        <f t="shared" si="47"/>
        <v>CAPINI_2_</v>
      </c>
      <c r="R139" s="412" t="str">
        <f t="shared" si="48"/>
        <v>HAL_2_</v>
      </c>
      <c r="S139" s="412" t="str">
        <f t="shared" si="49"/>
        <v>HAL_2_5</v>
      </c>
      <c r="T139" s="402"/>
      <c r="U139" s="402"/>
      <c r="V139" s="414">
        <f t="shared" si="50"/>
        <v>2</v>
      </c>
      <c r="W139" s="402"/>
      <c r="X139" s="402"/>
      <c r="Y139" s="412">
        <f t="shared" si="52"/>
      </c>
      <c r="Z139" s="409" t="b">
        <f t="shared" si="51"/>
        <v>0</v>
      </c>
      <c r="AA139" s="384"/>
    </row>
    <row r="140" spans="1:27" s="483" customFormat="1" ht="12.75" customHeight="1">
      <c r="A140" s="4"/>
      <c r="B140" s="5"/>
      <c r="C140" s="29">
        <v>6</v>
      </c>
      <c r="D140" s="877">
        <f t="shared" si="44"/>
      </c>
      <c r="E140" s="878"/>
      <c r="F140" s="878"/>
      <c r="G140" s="879"/>
      <c r="H140" s="64">
        <f t="shared" si="45"/>
      </c>
      <c r="I140" s="492"/>
      <c r="J140" s="492"/>
      <c r="K140" s="363">
        <f t="shared" si="46"/>
      </c>
      <c r="L140" s="288"/>
      <c r="M140" s="288"/>
      <c r="N140" s="288"/>
      <c r="O140" s="288"/>
      <c r="P140" s="9"/>
      <c r="Q140" s="412" t="str">
        <f t="shared" si="47"/>
        <v>CAPINI_2_</v>
      </c>
      <c r="R140" s="412" t="str">
        <f t="shared" si="48"/>
        <v>HAL_2_</v>
      </c>
      <c r="S140" s="412" t="str">
        <f t="shared" si="49"/>
        <v>HAL_2_6</v>
      </c>
      <c r="T140" s="402"/>
      <c r="U140" s="402"/>
      <c r="V140" s="414">
        <f t="shared" si="50"/>
        <v>2</v>
      </c>
      <c r="W140" s="402"/>
      <c r="X140" s="402"/>
      <c r="Y140" s="412">
        <f t="shared" si="52"/>
      </c>
      <c r="Z140" s="409" t="b">
        <f t="shared" si="51"/>
        <v>0</v>
      </c>
      <c r="AA140" s="384"/>
    </row>
    <row r="141" spans="1:27" s="483" customFormat="1" ht="12.75" customHeight="1">
      <c r="A141" s="4"/>
      <c r="B141" s="5"/>
      <c r="C141" s="29">
        <v>7</v>
      </c>
      <c r="D141" s="877">
        <f t="shared" si="44"/>
      </c>
      <c r="E141" s="878"/>
      <c r="F141" s="878"/>
      <c r="G141" s="879"/>
      <c r="H141" s="64">
        <f t="shared" si="45"/>
      </c>
      <c r="I141" s="492"/>
      <c r="J141" s="492"/>
      <c r="K141" s="363">
        <f t="shared" si="46"/>
      </c>
      <c r="L141" s="288"/>
      <c r="M141" s="288"/>
      <c r="N141" s="288"/>
      <c r="O141" s="288"/>
      <c r="P141" s="9"/>
      <c r="Q141" s="412" t="str">
        <f t="shared" si="47"/>
        <v>CAPINI_2_</v>
      </c>
      <c r="R141" s="412" t="str">
        <f t="shared" si="48"/>
        <v>HAL_2_</v>
      </c>
      <c r="S141" s="412" t="str">
        <f t="shared" si="49"/>
        <v>HAL_2_7</v>
      </c>
      <c r="T141" s="402"/>
      <c r="U141" s="402"/>
      <c r="V141" s="414">
        <f t="shared" si="50"/>
        <v>2</v>
      </c>
      <c r="W141" s="402"/>
      <c r="X141" s="402"/>
      <c r="Y141" s="412">
        <f t="shared" si="52"/>
      </c>
      <c r="Z141" s="409" t="b">
        <f t="shared" si="51"/>
        <v>0</v>
      </c>
      <c r="AA141" s="384"/>
    </row>
    <row r="142" spans="1:27" s="483" customFormat="1" ht="12.75" customHeight="1">
      <c r="A142" s="4"/>
      <c r="B142" s="5"/>
      <c r="C142" s="29">
        <v>8</v>
      </c>
      <c r="D142" s="877">
        <f t="shared" si="44"/>
      </c>
      <c r="E142" s="878"/>
      <c r="F142" s="878"/>
      <c r="G142" s="879"/>
      <c r="H142" s="64">
        <f t="shared" si="45"/>
      </c>
      <c r="I142" s="492"/>
      <c r="J142" s="492"/>
      <c r="K142" s="363">
        <f t="shared" si="46"/>
      </c>
      <c r="L142" s="288"/>
      <c r="M142" s="288"/>
      <c r="N142" s="288"/>
      <c r="O142" s="288"/>
      <c r="P142" s="9"/>
      <c r="Q142" s="412" t="str">
        <f t="shared" si="47"/>
        <v>CAPINI_2_</v>
      </c>
      <c r="R142" s="412" t="str">
        <f t="shared" si="48"/>
        <v>HAL_2_</v>
      </c>
      <c r="S142" s="412" t="str">
        <f t="shared" si="49"/>
        <v>HAL_2_8</v>
      </c>
      <c r="T142" s="402"/>
      <c r="U142" s="402"/>
      <c r="V142" s="414">
        <f t="shared" si="50"/>
        <v>2</v>
      </c>
      <c r="W142" s="402"/>
      <c r="X142" s="402"/>
      <c r="Y142" s="412">
        <f t="shared" si="52"/>
      </c>
      <c r="Z142" s="409" t="b">
        <f t="shared" si="51"/>
        <v>0</v>
      </c>
      <c r="AA142" s="384"/>
    </row>
    <row r="143" spans="1:27" s="483" customFormat="1" ht="12.75" customHeight="1">
      <c r="A143" s="4"/>
      <c r="B143" s="5"/>
      <c r="C143" s="29">
        <v>9</v>
      </c>
      <c r="D143" s="877">
        <f t="shared" si="44"/>
      </c>
      <c r="E143" s="878"/>
      <c r="F143" s="878"/>
      <c r="G143" s="879"/>
      <c r="H143" s="64">
        <f t="shared" si="45"/>
      </c>
      <c r="I143" s="492"/>
      <c r="J143" s="492"/>
      <c r="K143" s="363">
        <f t="shared" si="46"/>
      </c>
      <c r="L143" s="288"/>
      <c r="M143" s="288"/>
      <c r="N143" s="288"/>
      <c r="O143" s="288"/>
      <c r="P143" s="9"/>
      <c r="Q143" s="412" t="str">
        <f t="shared" si="47"/>
        <v>CAPINI_2_</v>
      </c>
      <c r="R143" s="412" t="str">
        <f t="shared" si="48"/>
        <v>HAL_2_</v>
      </c>
      <c r="S143" s="412" t="str">
        <f t="shared" si="49"/>
        <v>HAL_2_9</v>
      </c>
      <c r="T143" s="402"/>
      <c r="U143" s="402"/>
      <c r="V143" s="414">
        <f t="shared" si="50"/>
        <v>2</v>
      </c>
      <c r="W143" s="402"/>
      <c r="X143" s="402"/>
      <c r="Y143" s="412">
        <f t="shared" si="52"/>
      </c>
      <c r="Z143" s="409" t="b">
        <f t="shared" si="51"/>
        <v>0</v>
      </c>
      <c r="AA143" s="384"/>
    </row>
    <row r="144" spans="1:27" s="483" customFormat="1" ht="12.75" customHeight="1">
      <c r="A144" s="4"/>
      <c r="B144" s="5"/>
      <c r="C144" s="25">
        <v>10</v>
      </c>
      <c r="D144" s="908">
        <f t="shared" si="44"/>
      </c>
      <c r="E144" s="909"/>
      <c r="F144" s="909"/>
      <c r="G144" s="910"/>
      <c r="H144" s="63">
        <f t="shared" si="45"/>
      </c>
      <c r="I144" s="493"/>
      <c r="J144" s="493"/>
      <c r="K144" s="364">
        <f t="shared" si="46"/>
      </c>
      <c r="L144" s="288"/>
      <c r="M144" s="288"/>
      <c r="N144" s="288"/>
      <c r="O144" s="288"/>
      <c r="P144" s="9"/>
      <c r="Q144" s="412" t="str">
        <f t="shared" si="47"/>
        <v>CAPINI_2_</v>
      </c>
      <c r="R144" s="412" t="str">
        <f t="shared" si="48"/>
        <v>HAL_2_</v>
      </c>
      <c r="S144" s="412" t="str">
        <f t="shared" si="49"/>
        <v>HAL_2_10</v>
      </c>
      <c r="T144" s="402"/>
      <c r="U144" s="402"/>
      <c r="V144" s="414">
        <f t="shared" si="50"/>
        <v>2</v>
      </c>
      <c r="W144" s="402"/>
      <c r="X144" s="402"/>
      <c r="Y144" s="412">
        <f t="shared" si="52"/>
      </c>
      <c r="Z144" s="409" t="b">
        <f t="shared" si="51"/>
        <v>0</v>
      </c>
      <c r="AA144" s="384"/>
    </row>
    <row r="145" spans="1:27" s="483" customFormat="1" ht="27" customHeight="1">
      <c r="A145" s="4"/>
      <c r="B145" s="5"/>
      <c r="C145" s="29">
        <v>11</v>
      </c>
      <c r="D145" s="889" t="str">
        <f aca="true" t="shared" si="53" ref="D145:D150">INDEX(EUconst_FallBackListNames,C145-10)</f>
        <v>Подинсталация с топлинен показател, с риск от изтичане на въглерод</v>
      </c>
      <c r="E145" s="890"/>
      <c r="F145" s="890"/>
      <c r="G145" s="891"/>
      <c r="H145" s="65" t="str">
        <f aca="true" t="shared" si="54" ref="H145:H150">IF(D145&lt;&gt;"",INDEX(EUconst_FallBackListUnits,MATCH($D145,EUconst_FallBackListNames,0))&amp;" / "&amp;EUconst_Year,"")</f>
        <v>TJ / година</v>
      </c>
      <c r="I145" s="496"/>
      <c r="J145" s="491"/>
      <c r="K145" s="365">
        <f aca="true" t="shared" si="55" ref="K145:K150">IF(Y145="","",IF(AND(COUNT(G123:N123)&gt;0,COUNT(I145:J145)&lt;2),EUconst_Incomplete,""))</f>
      </c>
      <c r="L145" s="288"/>
      <c r="M145" s="288"/>
      <c r="N145" s="288"/>
      <c r="O145" s="288"/>
      <c r="P145" s="9"/>
      <c r="Q145" s="412" t="str">
        <f t="shared" si="47"/>
        <v>CAPINI_2_Подинсталация с топлинен показател, с риск от изтичане на въглерод</v>
      </c>
      <c r="R145" s="412" t="str">
        <f t="shared" si="48"/>
        <v>HAL_2_Подинсталация с топлинен показател, с риск от изтичане на въглерод</v>
      </c>
      <c r="S145" s="402"/>
      <c r="T145" s="402"/>
      <c r="U145" s="402"/>
      <c r="V145" s="414">
        <f t="shared" si="50"/>
        <v>2</v>
      </c>
      <c r="W145" s="402"/>
      <c r="X145" s="402"/>
      <c r="Y145" s="412">
        <f t="shared" si="52"/>
      </c>
      <c r="Z145" s="409" t="b">
        <f aca="true" t="shared" si="56" ref="Z145:Z150">AND(Y145&lt;&gt;"",COUNT(G100:N100)=0)</f>
        <v>0</v>
      </c>
      <c r="AA145" s="384"/>
    </row>
    <row r="146" spans="1:27" s="483" customFormat="1" ht="27" customHeight="1">
      <c r="A146" s="4"/>
      <c r="B146" s="5"/>
      <c r="C146" s="29">
        <v>12</v>
      </c>
      <c r="D146" s="886" t="str">
        <f t="shared" si="53"/>
        <v>Подинсталация с топлинен показател, без риск от изтичане на въглерод</v>
      </c>
      <c r="E146" s="887"/>
      <c r="F146" s="887"/>
      <c r="G146" s="888"/>
      <c r="H146" s="64" t="str">
        <f t="shared" si="54"/>
        <v>TJ / година</v>
      </c>
      <c r="I146" s="497"/>
      <c r="J146" s="492"/>
      <c r="K146" s="363">
        <f t="shared" si="55"/>
      </c>
      <c r="L146" s="288"/>
      <c r="M146" s="288"/>
      <c r="N146" s="288"/>
      <c r="O146" s="288"/>
      <c r="P146" s="9"/>
      <c r="Q146" s="412" t="str">
        <f t="shared" si="47"/>
        <v>CAPINI_2_Подинсталация с топлинен показател, без риск от изтичане на въглерод</v>
      </c>
      <c r="R146" s="412" t="str">
        <f t="shared" si="48"/>
        <v>HAL_2_Подинсталация с топлинен показател, без риск от изтичане на въглерод</v>
      </c>
      <c r="S146" s="402"/>
      <c r="T146" s="402"/>
      <c r="U146" s="402"/>
      <c r="V146" s="414">
        <f t="shared" si="50"/>
        <v>2</v>
      </c>
      <c r="W146" s="402"/>
      <c r="X146" s="402"/>
      <c r="Y146" s="412">
        <f t="shared" si="52"/>
      </c>
      <c r="Z146" s="409" t="b">
        <f t="shared" si="56"/>
        <v>0</v>
      </c>
      <c r="AA146" s="384"/>
    </row>
    <row r="147" spans="1:27" s="483" customFormat="1" ht="27" customHeight="1">
      <c r="A147" s="4"/>
      <c r="B147" s="5"/>
      <c r="C147" s="29">
        <v>13</v>
      </c>
      <c r="D147" s="886" t="str">
        <f t="shared" si="53"/>
        <v>Подинсталация с горивен показател, с риск от изтичане на въглерод</v>
      </c>
      <c r="E147" s="887"/>
      <c r="F147" s="887"/>
      <c r="G147" s="888"/>
      <c r="H147" s="64" t="str">
        <f t="shared" si="54"/>
        <v>TJ / година</v>
      </c>
      <c r="I147" s="497"/>
      <c r="J147" s="492"/>
      <c r="K147" s="363">
        <f t="shared" si="55"/>
      </c>
      <c r="L147" s="288"/>
      <c r="M147" s="288"/>
      <c r="N147" s="288"/>
      <c r="O147" s="288"/>
      <c r="P147" s="9"/>
      <c r="Q147" s="412" t="str">
        <f t="shared" si="47"/>
        <v>CAPINI_2_Подинсталация с горивен показател, с риск от изтичане на въглерод</v>
      </c>
      <c r="R147" s="412" t="str">
        <f t="shared" si="48"/>
        <v>HAL_2_Подинсталация с горивен показател, с риск от изтичане на въглерод</v>
      </c>
      <c r="S147" s="402"/>
      <c r="T147" s="402"/>
      <c r="U147" s="402"/>
      <c r="V147" s="414">
        <f t="shared" si="50"/>
        <v>2</v>
      </c>
      <c r="W147" s="402"/>
      <c r="X147" s="402"/>
      <c r="Y147" s="412">
        <f t="shared" si="52"/>
      </c>
      <c r="Z147" s="409" t="b">
        <f t="shared" si="56"/>
        <v>0</v>
      </c>
      <c r="AA147" s="384"/>
    </row>
    <row r="148" spans="1:27" s="483" customFormat="1" ht="27" customHeight="1">
      <c r="A148" s="4"/>
      <c r="B148" s="5"/>
      <c r="C148" s="29">
        <v>14</v>
      </c>
      <c r="D148" s="886" t="str">
        <f t="shared" si="53"/>
        <v>Подинсталация с горивен показател, без риск от изтичане на въглерод</v>
      </c>
      <c r="E148" s="887"/>
      <c r="F148" s="887"/>
      <c r="G148" s="888"/>
      <c r="H148" s="64" t="str">
        <f t="shared" si="54"/>
        <v>TJ / година</v>
      </c>
      <c r="I148" s="497"/>
      <c r="J148" s="492"/>
      <c r="K148" s="363">
        <f t="shared" si="55"/>
      </c>
      <c r="L148" s="288"/>
      <c r="M148" s="288"/>
      <c r="N148" s="288"/>
      <c r="O148" s="288"/>
      <c r="P148" s="9"/>
      <c r="Q148" s="412" t="str">
        <f t="shared" si="47"/>
        <v>CAPINI_2_Подинсталация с горивен показател, без риск от изтичане на въглерод</v>
      </c>
      <c r="R148" s="412" t="str">
        <f t="shared" si="48"/>
        <v>HAL_2_Подинсталация с горивен показател, без риск от изтичане на въглерод</v>
      </c>
      <c r="S148" s="402"/>
      <c r="T148" s="402"/>
      <c r="U148" s="402"/>
      <c r="V148" s="414">
        <f t="shared" si="50"/>
        <v>2</v>
      </c>
      <c r="W148" s="402"/>
      <c r="X148" s="402"/>
      <c r="Y148" s="412">
        <f t="shared" si="52"/>
      </c>
      <c r="Z148" s="409" t="b">
        <f t="shared" si="56"/>
        <v>0</v>
      </c>
      <c r="AA148" s="384"/>
    </row>
    <row r="149" spans="1:27" s="483" customFormat="1" ht="27" customHeight="1">
      <c r="A149" s="4"/>
      <c r="B149" s="5"/>
      <c r="C149" s="29">
        <v>15</v>
      </c>
      <c r="D149" s="886" t="str">
        <f t="shared" si="53"/>
        <v>Подинсталация с технологични емисии, с риск от изтичане на въглерод</v>
      </c>
      <c r="E149" s="887"/>
      <c r="F149" s="887"/>
      <c r="G149" s="888"/>
      <c r="H149" s="64" t="str">
        <f t="shared" si="54"/>
        <v>t CO2e / година</v>
      </c>
      <c r="I149" s="497"/>
      <c r="J149" s="492"/>
      <c r="K149" s="363">
        <f t="shared" si="55"/>
      </c>
      <c r="L149" s="288"/>
      <c r="M149" s="288"/>
      <c r="N149" s="288"/>
      <c r="O149" s="288"/>
      <c r="P149" s="9"/>
      <c r="Q149" s="412" t="str">
        <f t="shared" si="47"/>
        <v>CAPINI_2_Подинсталация с технологични емисии, с риск от изтичане на въглерод</v>
      </c>
      <c r="R149" s="412" t="str">
        <f t="shared" si="48"/>
        <v>HAL_2_Подинсталация с технологични емисии, с риск от изтичане на въглерод</v>
      </c>
      <c r="S149" s="402"/>
      <c r="T149" s="402"/>
      <c r="U149" s="402"/>
      <c r="V149" s="414">
        <f t="shared" si="50"/>
        <v>2</v>
      </c>
      <c r="W149" s="402"/>
      <c r="X149" s="402"/>
      <c r="Y149" s="412">
        <f t="shared" si="52"/>
      </c>
      <c r="Z149" s="409" t="b">
        <f t="shared" si="56"/>
        <v>0</v>
      </c>
      <c r="AA149" s="384"/>
    </row>
    <row r="150" spans="1:27" s="483" customFormat="1" ht="27" customHeight="1" thickBot="1">
      <c r="A150" s="4"/>
      <c r="B150" s="5"/>
      <c r="C150" s="25">
        <v>16</v>
      </c>
      <c r="D150" s="880" t="str">
        <f t="shared" si="53"/>
        <v>Подинсталация с технологични емисии, без риск от изтичане на въглерод</v>
      </c>
      <c r="E150" s="881"/>
      <c r="F150" s="881"/>
      <c r="G150" s="882"/>
      <c r="H150" s="63" t="str">
        <f t="shared" si="54"/>
        <v>t CO2e / година</v>
      </c>
      <c r="I150" s="498"/>
      <c r="J150" s="493"/>
      <c r="K150" s="364">
        <f t="shared" si="55"/>
      </c>
      <c r="L150" s="288"/>
      <c r="M150" s="288"/>
      <c r="N150" s="288"/>
      <c r="O150" s="288"/>
      <c r="P150" s="9"/>
      <c r="Q150" s="412" t="str">
        <f t="shared" si="47"/>
        <v>CAPINI_2_Подинсталация с технологични емисии, без риск от изтичане на въглерод</v>
      </c>
      <c r="R150" s="412" t="str">
        <f t="shared" si="48"/>
        <v>HAL_2_Подинсталация с технологични емисии, без риск от изтичане на въглерод</v>
      </c>
      <c r="S150" s="402"/>
      <c r="T150" s="402"/>
      <c r="U150" s="402"/>
      <c r="V150" s="415">
        <f t="shared" si="50"/>
        <v>2</v>
      </c>
      <c r="W150" s="402"/>
      <c r="X150" s="402"/>
      <c r="Y150" s="412">
        <f t="shared" si="52"/>
      </c>
      <c r="Z150" s="409" t="b">
        <f t="shared" si="56"/>
        <v>0</v>
      </c>
      <c r="AA150" s="384"/>
    </row>
    <row r="151" spans="1:27" s="483" customFormat="1" ht="39.75" customHeight="1">
      <c r="A151" s="4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9"/>
      <c r="N151" s="9"/>
      <c r="O151" s="280"/>
      <c r="P151" s="9"/>
      <c r="Q151" s="402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</row>
    <row r="152" spans="1:27" s="483" customFormat="1" ht="12.75">
      <c r="A152" s="4"/>
      <c r="B152" s="18"/>
      <c r="C152" s="18"/>
      <c r="D152" s="725" t="str">
        <f>HYPERLINK(R152,Translations!$B$335)</f>
        <v>&lt;&lt;&lt;Щракнете тук за да продължите към следващия работен лист (sheet)&gt;&gt;&gt;</v>
      </c>
      <c r="E152" s="726"/>
      <c r="F152" s="726"/>
      <c r="G152" s="726"/>
      <c r="H152" s="726"/>
      <c r="I152" s="726"/>
      <c r="J152" s="726"/>
      <c r="K152" s="726"/>
      <c r="L152" s="726"/>
      <c r="M152" s="726"/>
      <c r="N152" s="726"/>
      <c r="O152" s="18"/>
      <c r="P152" s="18"/>
      <c r="Q152" s="299"/>
      <c r="R152" s="412" t="str">
        <f>$W$2</f>
        <v>#C_MergerSplitTransfer!$C$6</v>
      </c>
      <c r="S152" s="299"/>
      <c r="T152" s="299"/>
      <c r="U152" s="299"/>
      <c r="V152" s="299"/>
      <c r="W152" s="299"/>
      <c r="X152" s="299"/>
      <c r="Y152" s="299"/>
      <c r="Z152" s="299"/>
      <c r="AA152" s="384"/>
    </row>
    <row r="153" spans="2:27" s="483" customFormat="1" ht="12.75">
      <c r="B153" s="484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0"/>
      <c r="N153" s="480"/>
      <c r="O153" s="480"/>
      <c r="P153" s="480"/>
      <c r="Q153" s="418" t="s">
        <v>166</v>
      </c>
      <c r="R153" s="418" t="s">
        <v>166</v>
      </c>
      <c r="S153" s="418" t="s">
        <v>166</v>
      </c>
      <c r="T153" s="418" t="s">
        <v>166</v>
      </c>
      <c r="U153" s="418" t="s">
        <v>166</v>
      </c>
      <c r="V153" s="418" t="s">
        <v>166</v>
      </c>
      <c r="W153" s="418" t="s">
        <v>166</v>
      </c>
      <c r="X153" s="418" t="s">
        <v>166</v>
      </c>
      <c r="Y153" s="418" t="s">
        <v>166</v>
      </c>
      <c r="Z153" s="418" t="s">
        <v>166</v>
      </c>
      <c r="AA153" s="384"/>
    </row>
  </sheetData>
  <sheetProtection sheet="1" objects="1" scenarios="1" formatCells="0" formatColumns="0" formatRows="0"/>
  <mergeCells count="160">
    <mergeCell ref="D152:N152"/>
    <mergeCell ref="E37:N37"/>
    <mergeCell ref="E38:N38"/>
    <mergeCell ref="D113:F113"/>
    <mergeCell ref="D114:F114"/>
    <mergeCell ref="D46:F46"/>
    <mergeCell ref="D52:F52"/>
    <mergeCell ref="D58:F58"/>
    <mergeCell ref="D106:F106"/>
    <mergeCell ref="D107:F107"/>
    <mergeCell ref="D10:J10"/>
    <mergeCell ref="D83:J83"/>
    <mergeCell ref="D44:F44"/>
    <mergeCell ref="D45:F45"/>
    <mergeCell ref="D104:F104"/>
    <mergeCell ref="D105:F105"/>
    <mergeCell ref="D80:G80"/>
    <mergeCell ref="D47:F47"/>
    <mergeCell ref="D59:F59"/>
    <mergeCell ref="D49:F49"/>
    <mergeCell ref="D50:F50"/>
    <mergeCell ref="D51:F51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2:F122"/>
    <mergeCell ref="M84:N84"/>
    <mergeCell ref="D96:F96"/>
    <mergeCell ref="D97:F97"/>
    <mergeCell ref="D98:F98"/>
    <mergeCell ref="D99:F99"/>
    <mergeCell ref="D121:F121"/>
    <mergeCell ref="D120:F120"/>
    <mergeCell ref="E109:N109"/>
    <mergeCell ref="D134:G134"/>
    <mergeCell ref="D135:G135"/>
    <mergeCell ref="D136:G136"/>
    <mergeCell ref="D129:F129"/>
    <mergeCell ref="D130:F130"/>
    <mergeCell ref="D137:G137"/>
    <mergeCell ref="D150:G150"/>
    <mergeCell ref="D139:G139"/>
    <mergeCell ref="D140:G140"/>
    <mergeCell ref="D141:G141"/>
    <mergeCell ref="D142:G142"/>
    <mergeCell ref="D143:G143"/>
    <mergeCell ref="D144:G144"/>
    <mergeCell ref="D145:G145"/>
    <mergeCell ref="D148:G148"/>
    <mergeCell ref="D149:G149"/>
    <mergeCell ref="D146:G146"/>
    <mergeCell ref="D147:G147"/>
    <mergeCell ref="E133:N133"/>
    <mergeCell ref="D127:F127"/>
    <mergeCell ref="D128:F128"/>
    <mergeCell ref="D101:F101"/>
    <mergeCell ref="D138:G138"/>
    <mergeCell ref="E132:N132"/>
    <mergeCell ref="D111:F111"/>
    <mergeCell ref="D112:F112"/>
    <mergeCell ref="E86:N86"/>
    <mergeCell ref="D88:F88"/>
    <mergeCell ref="D89:F89"/>
    <mergeCell ref="D90:F90"/>
    <mergeCell ref="D91:F91"/>
    <mergeCell ref="D103:F103"/>
    <mergeCell ref="K83:N83"/>
    <mergeCell ref="E14:N14"/>
    <mergeCell ref="E61:N61"/>
    <mergeCell ref="E62:N62"/>
    <mergeCell ref="D23:F23"/>
    <mergeCell ref="D16:F16"/>
    <mergeCell ref="D18:F18"/>
    <mergeCell ref="D54:F54"/>
    <mergeCell ref="D53:F53"/>
    <mergeCell ref="D40:F40"/>
    <mergeCell ref="D64:G64"/>
    <mergeCell ref="D102:F102"/>
    <mergeCell ref="D92:F92"/>
    <mergeCell ref="D93:F93"/>
    <mergeCell ref="D94:F94"/>
    <mergeCell ref="D95:F95"/>
    <mergeCell ref="D76:G76"/>
    <mergeCell ref="D100:F100"/>
    <mergeCell ref="D78:G78"/>
    <mergeCell ref="D79:G79"/>
    <mergeCell ref="D65:G65"/>
    <mergeCell ref="D66:G66"/>
    <mergeCell ref="D73:G73"/>
    <mergeCell ref="D69:G69"/>
    <mergeCell ref="D77:G77"/>
    <mergeCell ref="D24:F24"/>
    <mergeCell ref="D25:F25"/>
    <mergeCell ref="D26:F26"/>
    <mergeCell ref="D74:G74"/>
    <mergeCell ref="D71:G71"/>
    <mergeCell ref="E63:N63"/>
    <mergeCell ref="D41:F41"/>
    <mergeCell ref="D42:F42"/>
    <mergeCell ref="D43:F43"/>
    <mergeCell ref="D48:F48"/>
    <mergeCell ref="G2:H2"/>
    <mergeCell ref="I2:J2"/>
    <mergeCell ref="K2:L2"/>
    <mergeCell ref="M2:N2"/>
    <mergeCell ref="E3:F3"/>
    <mergeCell ref="G3:H3"/>
    <mergeCell ref="I3:J3"/>
    <mergeCell ref="D22:F22"/>
    <mergeCell ref="I4:J4"/>
    <mergeCell ref="K4:L4"/>
    <mergeCell ref="D35:F35"/>
    <mergeCell ref="D31:F31"/>
    <mergeCell ref="K10:N10"/>
    <mergeCell ref="D20:F20"/>
    <mergeCell ref="M11:N11"/>
    <mergeCell ref="G4:H4"/>
    <mergeCell ref="E4:F4"/>
    <mergeCell ref="D21:F21"/>
    <mergeCell ref="K3:L3"/>
    <mergeCell ref="D19:F19"/>
    <mergeCell ref="M3:N3"/>
    <mergeCell ref="E13:N13"/>
    <mergeCell ref="D17:F17"/>
    <mergeCell ref="M4:N4"/>
    <mergeCell ref="D6:N6"/>
    <mergeCell ref="B2:D4"/>
    <mergeCell ref="D30:F30"/>
    <mergeCell ref="D75:G75"/>
    <mergeCell ref="D72:G72"/>
    <mergeCell ref="D70:G70"/>
    <mergeCell ref="D32:F32"/>
    <mergeCell ref="D34:F34"/>
    <mergeCell ref="D55:F55"/>
    <mergeCell ref="D56:F56"/>
    <mergeCell ref="D57:F57"/>
    <mergeCell ref="U4:V4"/>
    <mergeCell ref="W4:X4"/>
    <mergeCell ref="Y4:Z4"/>
    <mergeCell ref="S4:T4"/>
    <mergeCell ref="D67:G67"/>
    <mergeCell ref="D68:G68"/>
    <mergeCell ref="D33:F33"/>
    <mergeCell ref="D27:F27"/>
    <mergeCell ref="D28:F28"/>
    <mergeCell ref="D29:F29"/>
    <mergeCell ref="S3:T3"/>
    <mergeCell ref="U3:V3"/>
    <mergeCell ref="S2:T2"/>
    <mergeCell ref="U2:V2"/>
    <mergeCell ref="W2:X2"/>
    <mergeCell ref="Y2:Z2"/>
    <mergeCell ref="W3:X3"/>
    <mergeCell ref="Y3:Z3"/>
  </mergeCells>
  <conditionalFormatting sqref="I65:J80 I135:J150">
    <cfRule type="expression" priority="35" dxfId="4" stopIfTrue="1">
      <formula>$Z65</formula>
    </cfRule>
  </conditionalFormatting>
  <conditionalFormatting sqref="D18:F27 D90:F99 G17:N34 G89:N106">
    <cfRule type="expression" priority="32" dxfId="4" stopIfTrue="1">
      <formula>$Z17=TRUE</formula>
    </cfRule>
  </conditionalFormatting>
  <conditionalFormatting sqref="D42:F51">
    <cfRule type="expression" priority="6" dxfId="4" stopIfTrue="1">
      <formula>$Z42=TRUE</formula>
    </cfRule>
  </conditionalFormatting>
  <conditionalFormatting sqref="G112:N112 D113:F122">
    <cfRule type="expression" priority="5" dxfId="4" stopIfTrue="1">
      <formula>$Z112=TRUE</formula>
    </cfRule>
  </conditionalFormatting>
  <conditionalFormatting sqref="G41:N58">
    <cfRule type="expression" priority="2" dxfId="4" stopIfTrue="1">
      <formula>$Z41=TRUE</formula>
    </cfRule>
  </conditionalFormatting>
  <conditionalFormatting sqref="G113:N129">
    <cfRule type="expression" priority="1" dxfId="4" stopIfTrue="1">
      <formula>$Z113=TRUE</formula>
    </cfRule>
  </conditionalFormatting>
  <dataValidations count="1">
    <dataValidation type="list" allowBlank="1" showInputMessage="1" showErrorMessage="1" sqref="E18:F26 D18:D27 E90:F98 D90:D99">
      <formula1>EUconst_BMlistNames</formula1>
    </dataValidation>
  </dataValidations>
  <hyperlinks>
    <hyperlink ref="G2:H2" location="JUMP_Coverpage_Top" display="JUMP_Coverpage_Top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3"/>
  <sheetViews>
    <sheetView zoomScalePageLayoutView="0" workbookViewId="0" topLeftCell="B1">
      <pane ySplit="4" topLeftCell="A5" activePane="bottomLeft" state="frozen"/>
      <selection pane="topLeft" activeCell="F43" sqref="F43"/>
      <selection pane="bottomLeft" activeCell="D40" sqref="D40:M40"/>
    </sheetView>
  </sheetViews>
  <sheetFormatPr defaultColWidth="11.421875" defaultRowHeight="12.75"/>
  <cols>
    <col min="1" max="1" width="4.7109375" style="82" hidden="1" customWidth="1"/>
    <col min="2" max="2" width="2.7109375" style="543" customWidth="1"/>
    <col min="3" max="4" width="4.7109375" style="543" customWidth="1"/>
    <col min="5" max="14" width="12.7109375" style="543" customWidth="1"/>
    <col min="15" max="15" width="4.7109375" style="543" customWidth="1"/>
    <col min="16" max="16" width="11.421875" style="543" hidden="1" customWidth="1"/>
    <col min="17" max="27" width="11.421875" style="474" hidden="1" customWidth="1"/>
    <col min="28" max="16384" width="11.421875" style="543" customWidth="1"/>
  </cols>
  <sheetData>
    <row r="1" spans="1:27" s="4" customFormat="1" ht="13.5" hidden="1" thickBot="1">
      <c r="A1" s="4" t="s">
        <v>474</v>
      </c>
      <c r="P1" s="284" t="s">
        <v>474</v>
      </c>
      <c r="Q1" s="384" t="s">
        <v>474</v>
      </c>
      <c r="R1" s="384" t="s">
        <v>474</v>
      </c>
      <c r="S1" s="401" t="s">
        <v>474</v>
      </c>
      <c r="T1" s="384" t="s">
        <v>474</v>
      </c>
      <c r="U1" s="384" t="s">
        <v>474</v>
      </c>
      <c r="V1" s="384" t="s">
        <v>474</v>
      </c>
      <c r="W1" s="384" t="s">
        <v>474</v>
      </c>
      <c r="X1" s="384" t="s">
        <v>474</v>
      </c>
      <c r="Y1" s="384" t="s">
        <v>474</v>
      </c>
      <c r="Z1" s="384" t="s">
        <v>474</v>
      </c>
      <c r="AA1" s="384" t="s">
        <v>474</v>
      </c>
    </row>
    <row r="2" spans="1:27" s="483" customFormat="1" ht="13.5" customHeight="1" thickBot="1">
      <c r="A2" s="4"/>
      <c r="B2" s="859" t="str">
        <f>Translations!$B$600</f>
        <v>C. Сливане, разделяне, прехвърляне</v>
      </c>
      <c r="C2" s="860"/>
      <c r="D2" s="861"/>
      <c r="E2" s="201" t="str">
        <f>Translations!$B$276</f>
        <v>Навигационно меню:</v>
      </c>
      <c r="F2" s="199"/>
      <c r="G2" s="661" t="str">
        <f>Translations!$B$290</f>
        <v>Съдържание</v>
      </c>
      <c r="H2" s="648"/>
      <c r="I2" s="648" t="str">
        <f>HYPERLINK(U2,Translations!$B$291)</f>
        <v>Предишен работен лист (sheet)</v>
      </c>
      <c r="J2" s="648"/>
      <c r="K2" s="648" t="str">
        <f>HYPERLINK(W2,Translations!$B$277)</f>
        <v>Следващ работен лист (sheet)</v>
      </c>
      <c r="L2" s="648"/>
      <c r="M2" s="648" t="str">
        <f>HYPERLINK(Y2,Translations!$B$278)</f>
        <v>Обобщение</v>
      </c>
      <c r="N2" s="655"/>
      <c r="O2" s="9"/>
      <c r="P2" s="9"/>
      <c r="Q2" s="402" t="s">
        <v>539</v>
      </c>
      <c r="R2" s="402"/>
      <c r="S2" s="650"/>
      <c r="T2" s="651"/>
      <c r="U2" s="652" t="str">
        <f>"#"&amp;ADDRESS(ROW(C6),COLUMN(C6),,,B_InitialSituation!Q3)</f>
        <v>#B_InitialSituation!$C$6</v>
      </c>
      <c r="V2" s="651"/>
      <c r="W2" s="652" t="str">
        <f>"#"&amp;ADDRESS(ROW(C6),COLUMN(C6),,,D_Summary!Q3)</f>
        <v>#D_Summary!$C$6</v>
      </c>
      <c r="X2" s="651"/>
      <c r="Y2" s="652" t="str">
        <f>"#"&amp;ADDRESS(ROW(C6),COLUMN(C6),,,D_Summary!Q3)</f>
        <v>#D_Summary!$C$6</v>
      </c>
      <c r="Z2" s="653"/>
      <c r="AA2" s="384"/>
    </row>
    <row r="3" spans="1:27" s="483" customFormat="1" ht="13.5" thickBot="1">
      <c r="A3" s="4"/>
      <c r="B3" s="862"/>
      <c r="C3" s="863"/>
      <c r="D3" s="864"/>
      <c r="E3" s="648" t="str">
        <f>HYPERLINK(R3,Translations!$B$279)</f>
        <v>Начало на работния лист</v>
      </c>
      <c r="F3" s="696"/>
      <c r="G3" s="662" t="str">
        <f>HYPERLINK(S3,Translations!$B$542)</f>
        <v>Инсталация 1</v>
      </c>
      <c r="H3" s="663"/>
      <c r="I3" s="698" t="str">
        <f>HYPERLINK(U3,Translations!$B$543)</f>
        <v>Инсталация 2</v>
      </c>
      <c r="J3" s="663"/>
      <c r="K3" s="698"/>
      <c r="L3" s="663"/>
      <c r="M3" s="698"/>
      <c r="N3" s="663"/>
      <c r="O3" s="9"/>
      <c r="P3" s="9"/>
      <c r="Q3" s="460" t="str">
        <f ca="1">IF(ISERROR(CELL("filename",Q1)),"C_MergerSplitTransfer",MID(CELL("filename",Q1),FIND("]",CELL("filename",Q1))+1,1024))</f>
        <v>C_MergerSplitTransfer</v>
      </c>
      <c r="R3" s="461" t="str">
        <f>"#"&amp;ADDRESS(ROW(C6),COLUMN(C6))</f>
        <v>#$C$6</v>
      </c>
      <c r="S3" s="721" t="str">
        <f>"#"&amp;ADDRESS(ROW(C10),COLUMN(C10))</f>
        <v>#$C$10</v>
      </c>
      <c r="T3" s="722"/>
      <c r="U3" s="723" t="str">
        <f>"#"&amp;ADDRESS(ROW(C39),COLUMN(C39))</f>
        <v>#$C$39</v>
      </c>
      <c r="V3" s="722"/>
      <c r="W3" s="723"/>
      <c r="X3" s="722"/>
      <c r="Y3" s="723"/>
      <c r="Z3" s="724"/>
      <c r="AA3" s="384"/>
    </row>
    <row r="4" spans="1:27" s="483" customFormat="1" ht="13.5" customHeight="1" thickBot="1">
      <c r="A4" s="4"/>
      <c r="B4" s="865"/>
      <c r="C4" s="866"/>
      <c r="D4" s="867"/>
      <c r="E4" s="648" t="str">
        <f>HYPERLINK(R4,Translations!$B$280)</f>
        <v>Край на работния лист</v>
      </c>
      <c r="F4" s="648"/>
      <c r="G4" s="704"/>
      <c r="H4" s="705"/>
      <c r="I4" s="706"/>
      <c r="J4" s="705"/>
      <c r="K4" s="706"/>
      <c r="L4" s="705"/>
      <c r="M4" s="706"/>
      <c r="N4" s="705"/>
      <c r="O4" s="9"/>
      <c r="P4" s="9"/>
      <c r="Q4" s="402"/>
      <c r="R4" s="462" t="str">
        <f>"#"&amp;ADDRESS(ROW(D67),COLUMN(D67))</f>
        <v>#$D$67</v>
      </c>
      <c r="S4" s="727"/>
      <c r="T4" s="728"/>
      <c r="U4" s="729"/>
      <c r="V4" s="728"/>
      <c r="W4" s="729"/>
      <c r="X4" s="728"/>
      <c r="Y4" s="729"/>
      <c r="Z4" s="730"/>
      <c r="AA4" s="384"/>
    </row>
    <row r="5" spans="1:27" s="483" customFormat="1" ht="12.75">
      <c r="A5" s="4"/>
      <c r="B5" s="5"/>
      <c r="C5" s="6"/>
      <c r="D5" s="7"/>
      <c r="E5" s="7"/>
      <c r="F5" s="8"/>
      <c r="G5" s="8"/>
      <c r="H5" s="8"/>
      <c r="I5" s="5"/>
      <c r="J5" s="5"/>
      <c r="K5" s="5"/>
      <c r="L5" s="5"/>
      <c r="M5" s="9"/>
      <c r="N5" s="9"/>
      <c r="O5" s="9"/>
      <c r="P5" s="9"/>
      <c r="Q5" s="402"/>
      <c r="R5" s="384"/>
      <c r="S5" s="384"/>
      <c r="T5" s="384"/>
      <c r="U5" s="384"/>
      <c r="V5" s="384"/>
      <c r="W5" s="384"/>
      <c r="X5" s="384"/>
      <c r="Y5" s="384"/>
      <c r="Z5" s="384"/>
      <c r="AA5" s="384"/>
    </row>
    <row r="6" spans="1:27" s="483" customFormat="1" ht="23.25" customHeight="1">
      <c r="A6" s="4"/>
      <c r="B6" s="5"/>
      <c r="C6" s="11" t="s">
        <v>339</v>
      </c>
      <c r="D6" s="664" t="str">
        <f>Translations!$B$601</f>
        <v>Лист „Сливане, разделяне и прехвърляне“</v>
      </c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9"/>
      <c r="P6" s="9"/>
      <c r="Q6" s="403" t="s">
        <v>322</v>
      </c>
      <c r="R6" s="403" t="s">
        <v>322</v>
      </c>
      <c r="S6" s="403" t="s">
        <v>322</v>
      </c>
      <c r="T6" s="403" t="s">
        <v>322</v>
      </c>
      <c r="U6" s="403" t="s">
        <v>322</v>
      </c>
      <c r="V6" s="403" t="s">
        <v>322</v>
      </c>
      <c r="W6" s="403" t="s">
        <v>322</v>
      </c>
      <c r="X6" s="403" t="s">
        <v>322</v>
      </c>
      <c r="Y6" s="403" t="s">
        <v>322</v>
      </c>
      <c r="Z6" s="403" t="s">
        <v>322</v>
      </c>
      <c r="AA6" s="384"/>
    </row>
    <row r="7" spans="1:27" s="483" customFormat="1" ht="12.75" customHeight="1">
      <c r="A7" s="4"/>
      <c r="B7" s="5"/>
      <c r="C7" s="7"/>
      <c r="D7" s="5"/>
      <c r="E7" s="5"/>
      <c r="F7" s="5"/>
      <c r="G7" s="5"/>
      <c r="H7" s="5"/>
      <c r="I7" s="5"/>
      <c r="J7" s="5"/>
      <c r="K7" s="5"/>
      <c r="L7" s="5"/>
      <c r="M7" s="9"/>
      <c r="N7" s="9"/>
      <c r="O7" s="280"/>
      <c r="P7" s="9"/>
      <c r="Q7" s="402"/>
      <c r="R7" s="416"/>
      <c r="S7" s="384"/>
      <c r="T7" s="384"/>
      <c r="U7" s="384"/>
      <c r="V7" s="384"/>
      <c r="W7" s="384"/>
      <c r="X7" s="384"/>
      <c r="Y7" s="384"/>
      <c r="Z7" s="384"/>
      <c r="AA7" s="384"/>
    </row>
    <row r="8" spans="1:27" s="485" customFormat="1" ht="18" customHeight="1">
      <c r="A8" s="336"/>
      <c r="B8" s="208"/>
      <c r="C8" s="281" t="s">
        <v>124</v>
      </c>
      <c r="D8" s="297" t="str">
        <f>Translations!$B$602</f>
        <v>Прехвърляне на квоти, капацитет и равнище на активност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09"/>
      <c r="P8" s="209"/>
      <c r="Q8" s="328" t="s">
        <v>322</v>
      </c>
      <c r="R8" s="328" t="s">
        <v>322</v>
      </c>
      <c r="S8" s="328" t="s">
        <v>322</v>
      </c>
      <c r="T8" s="328" t="s">
        <v>322</v>
      </c>
      <c r="U8" s="328" t="s">
        <v>322</v>
      </c>
      <c r="V8" s="328" t="s">
        <v>322</v>
      </c>
      <c r="W8" s="328" t="s">
        <v>322</v>
      </c>
      <c r="X8" s="328" t="s">
        <v>322</v>
      </c>
      <c r="Y8" s="328" t="s">
        <v>322</v>
      </c>
      <c r="Z8" s="328" t="s">
        <v>322</v>
      </c>
      <c r="AA8" s="328"/>
    </row>
    <row r="9" spans="1:27" s="483" customFormat="1" ht="12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9"/>
      <c r="O9" s="9"/>
      <c r="P9" s="9"/>
      <c r="Q9" s="402"/>
      <c r="R9" s="384"/>
      <c r="S9" s="384"/>
      <c r="T9" s="384"/>
      <c r="U9" s="384"/>
      <c r="V9" s="384"/>
      <c r="W9" s="384"/>
      <c r="X9" s="384"/>
      <c r="Y9" s="384"/>
      <c r="Z9" s="384"/>
      <c r="AA9" s="384"/>
    </row>
    <row r="10" spans="1:27" s="486" customFormat="1" ht="18" customHeight="1">
      <c r="A10" s="207"/>
      <c r="B10" s="298"/>
      <c r="C10" s="302">
        <v>1</v>
      </c>
      <c r="D10" s="934" t="str">
        <f>Translations!$B$537&amp;" "&amp;C10</f>
        <v>Прехвърляне от инсталация 1</v>
      </c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298"/>
      <c r="P10" s="298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</row>
    <row r="11" spans="1:27" s="483" customFormat="1" ht="15">
      <c r="A11" s="4"/>
      <c r="B11" s="18"/>
      <c r="C11" s="16"/>
      <c r="D11" s="737" t="str">
        <f>Translations!$B$603</f>
        <v>Моля въведете тук дела на квотите, на капацитета и на равнището на активност, прехвърляни от първата инсталация.</v>
      </c>
      <c r="E11" s="688"/>
      <c r="F11" s="688"/>
      <c r="G11" s="688"/>
      <c r="H11" s="688"/>
      <c r="I11" s="688"/>
      <c r="J11" s="688"/>
      <c r="K11" s="688"/>
      <c r="L11" s="688"/>
      <c r="M11" s="688"/>
      <c r="N11" s="7"/>
      <c r="O11" s="7"/>
      <c r="P11" s="18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</row>
    <row r="12" spans="1:27" s="483" customFormat="1" ht="4.5" customHeight="1">
      <c r="A12" s="4"/>
      <c r="B12" s="18"/>
      <c r="C12" s="1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8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</row>
    <row r="13" spans="1:27" s="483" customFormat="1" ht="13.5" thickBot="1">
      <c r="A13" s="4"/>
      <c r="B13" s="18"/>
      <c r="C13" s="7"/>
      <c r="D13" s="7"/>
      <c r="E13" s="7"/>
      <c r="F13" s="7"/>
      <c r="G13" s="7"/>
      <c r="H13" s="346" t="str">
        <f>Translations!$B$604</f>
        <v>от:</v>
      </c>
      <c r="I13" s="7"/>
      <c r="J13" s="7"/>
      <c r="K13" s="7"/>
      <c r="L13" s="7"/>
      <c r="M13" s="7"/>
      <c r="N13" s="18"/>
      <c r="O13" s="3"/>
      <c r="P13" s="18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</row>
    <row r="14" spans="1:27" s="486" customFormat="1" ht="25.5" customHeight="1" thickBot="1">
      <c r="A14" s="207"/>
      <c r="B14" s="208"/>
      <c r="C14" s="300"/>
      <c r="D14" s="208"/>
      <c r="E14" s="7"/>
      <c r="F14" s="7"/>
      <c r="G14" s="7"/>
      <c r="H14" s="920">
        <f>INDEX(A_InstallationData!$J$200:$J$273,MATCH(C10,A_InstallationData!$R$200:$R$273,0))</f>
      </c>
      <c r="I14" s="921"/>
      <c r="J14" s="922"/>
      <c r="K14" s="7"/>
      <c r="L14" s="7"/>
      <c r="M14" s="7"/>
      <c r="N14" s="303"/>
      <c r="O14" s="9"/>
      <c r="P14" s="9"/>
      <c r="Q14" s="419">
        <f>C10</f>
        <v>1</v>
      </c>
      <c r="R14" s="406"/>
      <c r="S14" s="406"/>
      <c r="T14" s="406"/>
      <c r="U14" s="406"/>
      <c r="V14" s="406"/>
      <c r="W14" s="406"/>
      <c r="X14" s="406"/>
      <c r="Y14" s="406"/>
      <c r="Z14" s="405" t="b">
        <f>H14=""</f>
        <v>1</v>
      </c>
      <c r="AA14" s="406"/>
    </row>
    <row r="15" spans="1:27" s="483" customFormat="1" ht="4.5" customHeight="1">
      <c r="A15" s="4"/>
      <c r="B15" s="5"/>
      <c r="C15" s="7"/>
      <c r="D15" s="5"/>
      <c r="E15" s="5"/>
      <c r="F15" s="5"/>
      <c r="G15" s="7"/>
      <c r="H15" s="5"/>
      <c r="I15" s="289"/>
      <c r="J15" s="5"/>
      <c r="K15" s="5"/>
      <c r="L15" s="5"/>
      <c r="M15" s="9"/>
      <c r="N15" s="280"/>
      <c r="O15" s="9"/>
      <c r="P15" s="9"/>
      <c r="Q15" s="402"/>
      <c r="R15" s="384"/>
      <c r="S15" s="384"/>
      <c r="T15" s="384"/>
      <c r="U15" s="384"/>
      <c r="V15" s="384"/>
      <c r="W15" s="384"/>
      <c r="X15" s="384"/>
      <c r="Y15" s="384"/>
      <c r="Z15" s="384"/>
      <c r="AA15" s="384"/>
    </row>
    <row r="16" spans="1:27" s="483" customFormat="1" ht="12.75" customHeight="1" thickBot="1">
      <c r="A16" s="4"/>
      <c r="B16" s="5"/>
      <c r="C16" s="7"/>
      <c r="D16" s="5"/>
      <c r="E16" s="5"/>
      <c r="F16" s="5"/>
      <c r="G16" s="7"/>
      <c r="H16" s="377" t="str">
        <f>Translations!$B$605</f>
        <v>на:</v>
      </c>
      <c r="I16" s="378"/>
      <c r="J16" s="41"/>
      <c r="K16" s="377" t="str">
        <f>Translations!$B$605</f>
        <v>на:</v>
      </c>
      <c r="L16" s="7"/>
      <c r="M16" s="7"/>
      <c r="N16" s="280"/>
      <c r="O16" s="9"/>
      <c r="P16" s="9"/>
      <c r="Q16" s="402"/>
      <c r="R16" s="384"/>
      <c r="S16" s="384"/>
      <c r="T16" s="384"/>
      <c r="U16" s="384"/>
      <c r="V16" s="384"/>
      <c r="W16" s="384"/>
      <c r="X16" s="384"/>
      <c r="Y16" s="384"/>
      <c r="Z16" s="384"/>
      <c r="AA16" s="384"/>
    </row>
    <row r="17" spans="1:27" s="483" customFormat="1" ht="25.5" customHeight="1" thickBot="1">
      <c r="A17" s="4"/>
      <c r="B17" s="5"/>
      <c r="C17" s="5"/>
      <c r="D17" s="5"/>
      <c r="E17" s="5"/>
      <c r="F17" s="5"/>
      <c r="G17" s="7"/>
      <c r="H17" s="920">
        <f>IF($H14="","",INDEX(A_InstallationData!$J$200:$J$273,MATCH(R17,A_InstallationData!$R$200:$R$273,0)))</f>
      </c>
      <c r="I17" s="921"/>
      <c r="J17" s="922"/>
      <c r="K17" s="920">
        <f>IF($H14="","",INDEX(A_InstallationData!$J$200:$J$273,MATCH(U17,A_InstallationData!$R$200:$R$273,0)))</f>
      </c>
      <c r="L17" s="921"/>
      <c r="M17" s="922"/>
      <c r="N17" s="9"/>
      <c r="O17" s="9"/>
      <c r="P17" s="9"/>
      <c r="Q17" s="402"/>
      <c r="R17" s="456">
        <v>3</v>
      </c>
      <c r="S17" s="384"/>
      <c r="T17" s="384"/>
      <c r="U17" s="456">
        <v>4</v>
      </c>
      <c r="V17" s="410" t="s">
        <v>532</v>
      </c>
      <c r="W17" s="384"/>
      <c r="X17" s="384"/>
      <c r="Y17" s="384"/>
      <c r="Z17" s="384"/>
      <c r="AA17" s="384"/>
    </row>
    <row r="18" spans="1:27" s="483" customFormat="1" ht="38.25" customHeight="1" thickBot="1">
      <c r="A18" s="4"/>
      <c r="B18" s="5"/>
      <c r="C18" s="20"/>
      <c r="D18" s="923" t="str">
        <f>Translations!$B$402</f>
        <v>Подинсталация</v>
      </c>
      <c r="E18" s="924"/>
      <c r="F18" s="924"/>
      <c r="G18" s="291"/>
      <c r="H18" s="379" t="str">
        <f>Translations!$B$606</f>
        <v>Дял</v>
      </c>
      <c r="I18" s="314" t="str">
        <f>Translations!$B$607</f>
        <v>Инсталиран капацитет (мощност)</v>
      </c>
      <c r="J18" s="381" t="str">
        <f>Translations!$B$608</f>
        <v>Годишно равнище на активност</v>
      </c>
      <c r="K18" s="382" t="str">
        <f>Translations!$B$606</f>
        <v>Дял</v>
      </c>
      <c r="L18" s="66" t="str">
        <f>Translations!$B$607</f>
        <v>Инсталиран капацитет (мощност)</v>
      </c>
      <c r="M18" s="383" t="str">
        <f>Translations!$B$608</f>
        <v>Годишно равнище на активност</v>
      </c>
      <c r="N18" s="546" t="str">
        <f>Translations!$B$477</f>
        <v>съобщение за грешка</v>
      </c>
      <c r="O18" s="9"/>
      <c r="P18" s="9"/>
      <c r="Q18" s="402"/>
      <c r="R18" s="384"/>
      <c r="S18" s="384"/>
      <c r="T18" s="384"/>
      <c r="U18" s="384"/>
      <c r="V18" s="410"/>
      <c r="W18" s="384"/>
      <c r="X18" s="384"/>
      <c r="Y18" s="384"/>
      <c r="Z18" s="408" t="s">
        <v>293</v>
      </c>
      <c r="AA18" s="384"/>
    </row>
    <row r="19" spans="1:27" s="483" customFormat="1" ht="12.75" customHeight="1" thickBot="1">
      <c r="A19" s="4"/>
      <c r="B19" s="5"/>
      <c r="C19" s="380">
        <v>0</v>
      </c>
      <c r="D19" s="925" t="str">
        <f>Translations!$B$501</f>
        <v>Етап преди започване</v>
      </c>
      <c r="E19" s="926"/>
      <c r="F19" s="926"/>
      <c r="G19" s="927"/>
      <c r="H19" s="422"/>
      <c r="I19" s="423"/>
      <c r="J19" s="424"/>
      <c r="K19" s="425">
        <f aca="true" t="shared" si="0" ref="K19:K36">IF(H19="","",1-H19)</f>
      </c>
      <c r="L19" s="426"/>
      <c r="M19" s="427"/>
      <c r="N19" s="428">
        <f aca="true" t="shared" si="1" ref="N19:N36">IF(AND($Z19=TRUE,H19=""),EUconst_Incomplete,IF(H19&gt;1,EUconst_Inconsistent,""))</f>
      </c>
      <c r="O19" s="9"/>
      <c r="P19" s="442"/>
      <c r="Q19" s="402"/>
      <c r="R19" s="384"/>
      <c r="S19" s="384"/>
      <c r="T19" s="412" t="str">
        <f aca="true" t="shared" si="2" ref="T19:T36">EUconst_CNTR_Finitial&amp;$V19&amp;"_"&amp;$D19</f>
        <v>FInitial_1_Етап преди започване</v>
      </c>
      <c r="U19" s="384"/>
      <c r="V19" s="413">
        <f>C10</f>
        <v>1</v>
      </c>
      <c r="W19" s="384"/>
      <c r="X19" s="384"/>
      <c r="Y19" s="384"/>
      <c r="Z19" s="409" t="b">
        <f>INDEX(B_InitialSituation!$X$9:$X$153,MATCH($T19,B_InitialSituation!$Q$9:$Q$153,0))</f>
        <v>0</v>
      </c>
      <c r="AA19" s="384"/>
    </row>
    <row r="20" spans="1:27" s="483" customFormat="1" ht="12.75" customHeight="1">
      <c r="A20" s="4"/>
      <c r="B20" s="5"/>
      <c r="C20" s="29">
        <v>1</v>
      </c>
      <c r="D20" s="928">
        <f>INDEX(B_InitialSituation!$D$9:$D$153,MATCH($S20,B_InitialSituation!$S$9:$S$153,0))</f>
      </c>
      <c r="E20" s="929"/>
      <c r="F20" s="929"/>
      <c r="G20" s="930"/>
      <c r="H20" s="429"/>
      <c r="I20" s="449">
        <f>IF(H20="","",H20*INDEX(B_InitialSituation!$I$9:$I$153,MATCH($Q20,B_InitialSituation!$Q$9:$Q$153,0)))</f>
      </c>
      <c r="J20" s="449">
        <f>IF(H20="","",H20*INDEX(B_InitialSituation!$J$9:$J$153,MATCH($R20,B_InitialSituation!$R$9:$R$153,0)))</f>
      </c>
      <c r="K20" s="430">
        <f t="shared" si="0"/>
      </c>
      <c r="L20" s="449">
        <f>IF(K20="","",K20*INDEX(B_InitialSituation!$I$9:$I$153,MATCH($Q20,B_InitialSituation!$Q$9:$Q$153,0)))</f>
      </c>
      <c r="M20" s="449">
        <f>IF(K20="","",K20*INDEX(B_InitialSituation!$J$9:$J$153,MATCH($R20,B_InitialSituation!$R$9:$R$153,0)))</f>
      </c>
      <c r="N20" s="431">
        <f t="shared" si="1"/>
      </c>
      <c r="O20" s="9"/>
      <c r="P20" s="9"/>
      <c r="Q20" s="412" t="str">
        <f aca="true" t="shared" si="3" ref="Q20:Q35">EUconst_CNTR_CAPINI&amp;$V20&amp;"_"&amp;$D20</f>
        <v>CAPINI_1_</v>
      </c>
      <c r="R20" s="412" t="str">
        <f aca="true" t="shared" si="4" ref="R20:R35">EUconst_CNTR_HAL&amp;$V20&amp;"_"&amp;$D20</f>
        <v>HAL_1_</v>
      </c>
      <c r="S20" s="412" t="str">
        <f aca="true" t="shared" si="5" ref="S20:S35">EUconst_CNTR_HAL&amp;$V20&amp;"_"&amp;$C20</f>
        <v>HAL_1_1</v>
      </c>
      <c r="T20" s="412" t="str">
        <f t="shared" si="2"/>
        <v>FInitial_1_</v>
      </c>
      <c r="U20" s="412" t="str">
        <f aca="true" t="shared" si="6" ref="U20:U35">EUconst_CNTR_CAPINI&amp;$D20</f>
        <v>CAPINI_</v>
      </c>
      <c r="V20" s="414">
        <f aca="true" t="shared" si="7" ref="V20:V36">V19</f>
        <v>1</v>
      </c>
      <c r="W20" s="384"/>
      <c r="X20" s="384"/>
      <c r="Y20" s="384"/>
      <c r="Z20" s="409" t="b">
        <f>INDEX(B_InitialSituation!$X$9:$X$153,MATCH($T20,B_InitialSituation!$Q$9:$Q$153,0))</f>
        <v>0</v>
      </c>
      <c r="AA20" s="384"/>
    </row>
    <row r="21" spans="1:27" s="483" customFormat="1" ht="12.75" customHeight="1">
      <c r="A21" s="4"/>
      <c r="B21" s="5"/>
      <c r="C21" s="29">
        <v>2</v>
      </c>
      <c r="D21" s="931">
        <f>INDEX(B_InitialSituation!$D$9:$D$153,MATCH($S21,B_InitialSituation!$S$9:$S$153,0))</f>
      </c>
      <c r="E21" s="932"/>
      <c r="F21" s="932"/>
      <c r="G21" s="933"/>
      <c r="H21" s="432"/>
      <c r="I21" s="450">
        <f>IF(H21="","",H21*INDEX(B_InitialSituation!$I$9:$I$153,MATCH($Q21,B_InitialSituation!$Q$9:$Q$153,0)))</f>
      </c>
      <c r="J21" s="450">
        <f>IF(H21="","",H21*INDEX(B_InitialSituation!$J$9:$J$153,MATCH($R21,B_InitialSituation!$R$9:$R$153,0)))</f>
      </c>
      <c r="K21" s="433">
        <f t="shared" si="0"/>
      </c>
      <c r="L21" s="450">
        <f>IF(K21="","",K21*INDEX(B_InitialSituation!$I$9:$I$153,MATCH($Q21,B_InitialSituation!$Q$9:$Q$153,0)))</f>
      </c>
      <c r="M21" s="450">
        <f>IF(K21="","",K21*INDEX(B_InitialSituation!$J$9:$J$153,MATCH($R21,B_InitialSituation!$R$9:$R$153,0)))</f>
      </c>
      <c r="N21" s="434">
        <f t="shared" si="1"/>
      </c>
      <c r="O21" s="9"/>
      <c r="P21" s="9"/>
      <c r="Q21" s="412" t="str">
        <f t="shared" si="3"/>
        <v>CAPINI_1_</v>
      </c>
      <c r="R21" s="412" t="str">
        <f t="shared" si="4"/>
        <v>HAL_1_</v>
      </c>
      <c r="S21" s="412" t="str">
        <f t="shared" si="5"/>
        <v>HAL_1_2</v>
      </c>
      <c r="T21" s="412" t="str">
        <f t="shared" si="2"/>
        <v>FInitial_1_</v>
      </c>
      <c r="U21" s="412" t="str">
        <f t="shared" si="6"/>
        <v>CAPINI_</v>
      </c>
      <c r="V21" s="414">
        <f t="shared" si="7"/>
        <v>1</v>
      </c>
      <c r="W21" s="384"/>
      <c r="X21" s="384"/>
      <c r="Y21" s="384"/>
      <c r="Z21" s="409" t="b">
        <f>INDEX(B_InitialSituation!$X$9:$X$153,MATCH($T21,B_InitialSituation!$Q$9:$Q$153,0))</f>
        <v>0</v>
      </c>
      <c r="AA21" s="384"/>
    </row>
    <row r="22" spans="1:27" s="483" customFormat="1" ht="12.75" customHeight="1">
      <c r="A22" s="4"/>
      <c r="B22" s="5"/>
      <c r="C22" s="29">
        <v>3</v>
      </c>
      <c r="D22" s="931">
        <f>INDEX(B_InitialSituation!$D$9:$D$153,MATCH($S22,B_InitialSituation!$S$9:$S$153,0))</f>
      </c>
      <c r="E22" s="932"/>
      <c r="F22" s="932"/>
      <c r="G22" s="933"/>
      <c r="H22" s="432"/>
      <c r="I22" s="450">
        <f>IF(H22="","",H22*INDEX(B_InitialSituation!$I$9:$I$153,MATCH($Q22,B_InitialSituation!$Q$9:$Q$153,0)))</f>
      </c>
      <c r="J22" s="450">
        <f>IF(H22="","",H22*INDEX(B_InitialSituation!$J$9:$J$153,MATCH($R22,B_InitialSituation!$R$9:$R$153,0)))</f>
      </c>
      <c r="K22" s="433">
        <f t="shared" si="0"/>
      </c>
      <c r="L22" s="450">
        <f>IF(K22="","",K22*INDEX(B_InitialSituation!$I$9:$I$153,MATCH($Q22,B_InitialSituation!$Q$9:$Q$153,0)))</f>
      </c>
      <c r="M22" s="450">
        <f>IF(K22="","",K22*INDEX(B_InitialSituation!$J$9:$J$153,MATCH($R22,B_InitialSituation!$R$9:$R$153,0)))</f>
      </c>
      <c r="N22" s="434">
        <f t="shared" si="1"/>
      </c>
      <c r="O22" s="9"/>
      <c r="P22" s="9"/>
      <c r="Q22" s="412" t="str">
        <f t="shared" si="3"/>
        <v>CAPINI_1_</v>
      </c>
      <c r="R22" s="412" t="str">
        <f t="shared" si="4"/>
        <v>HAL_1_</v>
      </c>
      <c r="S22" s="412" t="str">
        <f t="shared" si="5"/>
        <v>HAL_1_3</v>
      </c>
      <c r="T22" s="412" t="str">
        <f t="shared" si="2"/>
        <v>FInitial_1_</v>
      </c>
      <c r="U22" s="412" t="str">
        <f t="shared" si="6"/>
        <v>CAPINI_</v>
      </c>
      <c r="V22" s="414">
        <f t="shared" si="7"/>
        <v>1</v>
      </c>
      <c r="W22" s="384"/>
      <c r="X22" s="384"/>
      <c r="Y22" s="384"/>
      <c r="Z22" s="409" t="b">
        <f>INDEX(B_InitialSituation!$X$9:$X$153,MATCH($T22,B_InitialSituation!$Q$9:$Q$153,0))</f>
        <v>0</v>
      </c>
      <c r="AA22" s="384"/>
    </row>
    <row r="23" spans="1:27" s="483" customFormat="1" ht="12.75" customHeight="1">
      <c r="A23" s="4"/>
      <c r="B23" s="5"/>
      <c r="C23" s="29">
        <v>4</v>
      </c>
      <c r="D23" s="931">
        <f>INDEX(B_InitialSituation!$D$9:$D$153,MATCH($S23,B_InitialSituation!$S$9:$S$153,0))</f>
      </c>
      <c r="E23" s="932"/>
      <c r="F23" s="932"/>
      <c r="G23" s="933"/>
      <c r="H23" s="432"/>
      <c r="I23" s="450">
        <f>IF(H23="","",H23*INDEX(B_InitialSituation!$I$9:$I$153,MATCH($Q23,B_InitialSituation!$Q$9:$Q$153,0)))</f>
      </c>
      <c r="J23" s="450">
        <f>IF(H23="","",H23*INDEX(B_InitialSituation!$J$9:$J$153,MATCH($R23,B_InitialSituation!$R$9:$R$153,0)))</f>
      </c>
      <c r="K23" s="433">
        <f t="shared" si="0"/>
      </c>
      <c r="L23" s="450">
        <f>IF(K23="","",K23*INDEX(B_InitialSituation!$I$9:$I$153,MATCH($Q23,B_InitialSituation!$Q$9:$Q$153,0)))</f>
      </c>
      <c r="M23" s="450">
        <f>IF(K23="","",K23*INDEX(B_InitialSituation!$J$9:$J$153,MATCH($R23,B_InitialSituation!$R$9:$R$153,0)))</f>
      </c>
      <c r="N23" s="434">
        <f t="shared" si="1"/>
      </c>
      <c r="O23" s="9"/>
      <c r="P23" s="9"/>
      <c r="Q23" s="412" t="str">
        <f t="shared" si="3"/>
        <v>CAPINI_1_</v>
      </c>
      <c r="R23" s="412" t="str">
        <f t="shared" si="4"/>
        <v>HAL_1_</v>
      </c>
      <c r="S23" s="412" t="str">
        <f t="shared" si="5"/>
        <v>HAL_1_4</v>
      </c>
      <c r="T23" s="412" t="str">
        <f t="shared" si="2"/>
        <v>FInitial_1_</v>
      </c>
      <c r="U23" s="412" t="str">
        <f t="shared" si="6"/>
        <v>CAPINI_</v>
      </c>
      <c r="V23" s="414">
        <f t="shared" si="7"/>
        <v>1</v>
      </c>
      <c r="W23" s="384"/>
      <c r="X23" s="384"/>
      <c r="Y23" s="384"/>
      <c r="Z23" s="409" t="b">
        <f>INDEX(B_InitialSituation!$X$9:$X$153,MATCH($T23,B_InitialSituation!$Q$9:$Q$153,0))</f>
        <v>0</v>
      </c>
      <c r="AA23" s="384"/>
    </row>
    <row r="24" spans="1:27" s="483" customFormat="1" ht="12.75" customHeight="1">
      <c r="A24" s="4"/>
      <c r="B24" s="5"/>
      <c r="C24" s="29">
        <v>5</v>
      </c>
      <c r="D24" s="931">
        <f>INDEX(B_InitialSituation!$D$9:$D$153,MATCH($S24,B_InitialSituation!$S$9:$S$153,0))</f>
      </c>
      <c r="E24" s="932"/>
      <c r="F24" s="932"/>
      <c r="G24" s="933"/>
      <c r="H24" s="432"/>
      <c r="I24" s="450">
        <f>IF(H24="","",H24*INDEX(B_InitialSituation!$I$9:$I$153,MATCH($Q24,B_InitialSituation!$Q$9:$Q$153,0)))</f>
      </c>
      <c r="J24" s="450">
        <f>IF(H24="","",H24*INDEX(B_InitialSituation!$J$9:$J$153,MATCH($R24,B_InitialSituation!$R$9:$R$153,0)))</f>
      </c>
      <c r="K24" s="433">
        <f t="shared" si="0"/>
      </c>
      <c r="L24" s="450">
        <f>IF(K24="","",K24*INDEX(B_InitialSituation!$I$9:$I$153,MATCH($Q24,B_InitialSituation!$Q$9:$Q$153,0)))</f>
      </c>
      <c r="M24" s="450">
        <f>IF(K24="","",K24*INDEX(B_InitialSituation!$J$9:$J$153,MATCH($R24,B_InitialSituation!$R$9:$R$153,0)))</f>
      </c>
      <c r="N24" s="434">
        <f t="shared" si="1"/>
      </c>
      <c r="O24" s="9"/>
      <c r="P24" s="9"/>
      <c r="Q24" s="412" t="str">
        <f t="shared" si="3"/>
        <v>CAPINI_1_</v>
      </c>
      <c r="R24" s="412" t="str">
        <f t="shared" si="4"/>
        <v>HAL_1_</v>
      </c>
      <c r="S24" s="412" t="str">
        <f t="shared" si="5"/>
        <v>HAL_1_5</v>
      </c>
      <c r="T24" s="412" t="str">
        <f t="shared" si="2"/>
        <v>FInitial_1_</v>
      </c>
      <c r="U24" s="412" t="str">
        <f t="shared" si="6"/>
        <v>CAPINI_</v>
      </c>
      <c r="V24" s="414">
        <f t="shared" si="7"/>
        <v>1</v>
      </c>
      <c r="W24" s="384"/>
      <c r="X24" s="384"/>
      <c r="Y24" s="384"/>
      <c r="Z24" s="409" t="b">
        <f>INDEX(B_InitialSituation!$X$9:$X$153,MATCH($T24,B_InitialSituation!$Q$9:$Q$153,0))</f>
        <v>0</v>
      </c>
      <c r="AA24" s="384"/>
    </row>
    <row r="25" spans="1:27" s="483" customFormat="1" ht="12.75" customHeight="1">
      <c r="A25" s="4"/>
      <c r="B25" s="5"/>
      <c r="C25" s="29">
        <v>6</v>
      </c>
      <c r="D25" s="931">
        <f>INDEX(B_InitialSituation!$D$9:$D$153,MATCH($S25,B_InitialSituation!$S$9:$S$153,0))</f>
      </c>
      <c r="E25" s="932"/>
      <c r="F25" s="932"/>
      <c r="G25" s="933"/>
      <c r="H25" s="432"/>
      <c r="I25" s="450">
        <f>IF(H25="","",H25*INDEX(B_InitialSituation!$I$9:$I$153,MATCH($Q25,B_InitialSituation!$Q$9:$Q$153,0)))</f>
      </c>
      <c r="J25" s="450">
        <f>IF(H25="","",H25*INDEX(B_InitialSituation!$J$9:$J$153,MATCH($R25,B_InitialSituation!$R$9:$R$153,0)))</f>
      </c>
      <c r="K25" s="433">
        <f t="shared" si="0"/>
      </c>
      <c r="L25" s="450">
        <f>IF(K25="","",K25*INDEX(B_InitialSituation!$I$9:$I$153,MATCH($Q25,B_InitialSituation!$Q$9:$Q$153,0)))</f>
      </c>
      <c r="M25" s="450">
        <f>IF(K25="","",K25*INDEX(B_InitialSituation!$J$9:$J$153,MATCH($R25,B_InitialSituation!$R$9:$R$153,0)))</f>
      </c>
      <c r="N25" s="434">
        <f t="shared" si="1"/>
      </c>
      <c r="O25" s="9"/>
      <c r="P25" s="9"/>
      <c r="Q25" s="412" t="str">
        <f t="shared" si="3"/>
        <v>CAPINI_1_</v>
      </c>
      <c r="R25" s="412" t="str">
        <f t="shared" si="4"/>
        <v>HAL_1_</v>
      </c>
      <c r="S25" s="412" t="str">
        <f t="shared" si="5"/>
        <v>HAL_1_6</v>
      </c>
      <c r="T25" s="412" t="str">
        <f t="shared" si="2"/>
        <v>FInitial_1_</v>
      </c>
      <c r="U25" s="412" t="str">
        <f t="shared" si="6"/>
        <v>CAPINI_</v>
      </c>
      <c r="V25" s="414">
        <f t="shared" si="7"/>
        <v>1</v>
      </c>
      <c r="W25" s="384"/>
      <c r="X25" s="384"/>
      <c r="Y25" s="384"/>
      <c r="Z25" s="409" t="b">
        <f>INDEX(B_InitialSituation!$X$9:$X$153,MATCH($T25,B_InitialSituation!$Q$9:$Q$153,0))</f>
        <v>0</v>
      </c>
      <c r="AA25" s="384"/>
    </row>
    <row r="26" spans="1:27" s="483" customFormat="1" ht="12.75" customHeight="1">
      <c r="A26" s="4"/>
      <c r="B26" s="5"/>
      <c r="C26" s="29">
        <v>7</v>
      </c>
      <c r="D26" s="931">
        <f>INDEX(B_InitialSituation!$D$9:$D$153,MATCH($S26,B_InitialSituation!$S$9:$S$153,0))</f>
      </c>
      <c r="E26" s="932"/>
      <c r="F26" s="932"/>
      <c r="G26" s="933"/>
      <c r="H26" s="432"/>
      <c r="I26" s="450">
        <f>IF(H26="","",H26*INDEX(B_InitialSituation!$I$9:$I$153,MATCH($Q26,B_InitialSituation!$Q$9:$Q$153,0)))</f>
      </c>
      <c r="J26" s="450">
        <f>IF(H26="","",H26*INDEX(B_InitialSituation!$J$9:$J$153,MATCH($R26,B_InitialSituation!$R$9:$R$153,0)))</f>
      </c>
      <c r="K26" s="433">
        <f t="shared" si="0"/>
      </c>
      <c r="L26" s="450">
        <f>IF(K26="","",K26*INDEX(B_InitialSituation!$I$9:$I$153,MATCH($Q26,B_InitialSituation!$Q$9:$Q$153,0)))</f>
      </c>
      <c r="M26" s="450">
        <f>IF(K26="","",K26*INDEX(B_InitialSituation!$J$9:$J$153,MATCH($R26,B_InitialSituation!$R$9:$R$153,0)))</f>
      </c>
      <c r="N26" s="434">
        <f t="shared" si="1"/>
      </c>
      <c r="O26" s="9"/>
      <c r="P26" s="9"/>
      <c r="Q26" s="412" t="str">
        <f t="shared" si="3"/>
        <v>CAPINI_1_</v>
      </c>
      <c r="R26" s="412" t="str">
        <f t="shared" si="4"/>
        <v>HAL_1_</v>
      </c>
      <c r="S26" s="412" t="str">
        <f t="shared" si="5"/>
        <v>HAL_1_7</v>
      </c>
      <c r="T26" s="412" t="str">
        <f t="shared" si="2"/>
        <v>FInitial_1_</v>
      </c>
      <c r="U26" s="412" t="str">
        <f t="shared" si="6"/>
        <v>CAPINI_</v>
      </c>
      <c r="V26" s="414">
        <f t="shared" si="7"/>
        <v>1</v>
      </c>
      <c r="W26" s="384"/>
      <c r="X26" s="384"/>
      <c r="Y26" s="384"/>
      <c r="Z26" s="409" t="b">
        <f>INDEX(B_InitialSituation!$X$9:$X$153,MATCH($T26,B_InitialSituation!$Q$9:$Q$153,0))</f>
        <v>0</v>
      </c>
      <c r="AA26" s="384"/>
    </row>
    <row r="27" spans="1:27" s="483" customFormat="1" ht="12.75" customHeight="1">
      <c r="A27" s="4"/>
      <c r="B27" s="5"/>
      <c r="C27" s="29">
        <v>8</v>
      </c>
      <c r="D27" s="931">
        <f>INDEX(B_InitialSituation!$D$9:$D$153,MATCH($S27,B_InitialSituation!$S$9:$S$153,0))</f>
      </c>
      <c r="E27" s="932"/>
      <c r="F27" s="932"/>
      <c r="G27" s="933"/>
      <c r="H27" s="432"/>
      <c r="I27" s="450">
        <f>IF(H27="","",H27*INDEX(B_InitialSituation!$I$9:$I$153,MATCH($Q27,B_InitialSituation!$Q$9:$Q$153,0)))</f>
      </c>
      <c r="J27" s="450">
        <f>IF(H27="","",H27*INDEX(B_InitialSituation!$J$9:$J$153,MATCH($R27,B_InitialSituation!$R$9:$R$153,0)))</f>
      </c>
      <c r="K27" s="433">
        <f t="shared" si="0"/>
      </c>
      <c r="L27" s="450">
        <f>IF(K27="","",K27*INDEX(B_InitialSituation!$I$9:$I$153,MATCH($Q27,B_InitialSituation!$Q$9:$Q$153,0)))</f>
      </c>
      <c r="M27" s="450">
        <f>IF(K27="","",K27*INDEX(B_InitialSituation!$J$9:$J$153,MATCH($R27,B_InitialSituation!$R$9:$R$153,0)))</f>
      </c>
      <c r="N27" s="434">
        <f t="shared" si="1"/>
      </c>
      <c r="O27" s="9"/>
      <c r="P27" s="9"/>
      <c r="Q27" s="412" t="str">
        <f t="shared" si="3"/>
        <v>CAPINI_1_</v>
      </c>
      <c r="R27" s="412" t="str">
        <f t="shared" si="4"/>
        <v>HAL_1_</v>
      </c>
      <c r="S27" s="412" t="str">
        <f t="shared" si="5"/>
        <v>HAL_1_8</v>
      </c>
      <c r="T27" s="412" t="str">
        <f t="shared" si="2"/>
        <v>FInitial_1_</v>
      </c>
      <c r="U27" s="412" t="str">
        <f t="shared" si="6"/>
        <v>CAPINI_</v>
      </c>
      <c r="V27" s="414">
        <f t="shared" si="7"/>
        <v>1</v>
      </c>
      <c r="W27" s="384"/>
      <c r="X27" s="384"/>
      <c r="Y27" s="384"/>
      <c r="Z27" s="409" t="b">
        <f>INDEX(B_InitialSituation!$X$9:$X$153,MATCH($T27,B_InitialSituation!$Q$9:$Q$153,0))</f>
        <v>0</v>
      </c>
      <c r="AA27" s="384"/>
    </row>
    <row r="28" spans="1:27" s="483" customFormat="1" ht="12.75" customHeight="1">
      <c r="A28" s="4"/>
      <c r="B28" s="5"/>
      <c r="C28" s="29">
        <v>9</v>
      </c>
      <c r="D28" s="931">
        <f>INDEX(B_InitialSituation!$D$9:$D$153,MATCH($S28,B_InitialSituation!$S$9:$S$153,0))</f>
      </c>
      <c r="E28" s="932"/>
      <c r="F28" s="932"/>
      <c r="G28" s="933"/>
      <c r="H28" s="432"/>
      <c r="I28" s="450">
        <f>IF(H28="","",H28*INDEX(B_InitialSituation!$I$9:$I$153,MATCH($Q28,B_InitialSituation!$Q$9:$Q$153,0)))</f>
      </c>
      <c r="J28" s="450">
        <f>IF(H28="","",H28*INDEX(B_InitialSituation!$J$9:$J$153,MATCH($R28,B_InitialSituation!$R$9:$R$153,0)))</f>
      </c>
      <c r="K28" s="433">
        <f t="shared" si="0"/>
      </c>
      <c r="L28" s="450">
        <f>IF(K28="","",K28*INDEX(B_InitialSituation!$I$9:$I$153,MATCH($Q28,B_InitialSituation!$Q$9:$Q$153,0)))</f>
      </c>
      <c r="M28" s="450">
        <f>IF(K28="","",K28*INDEX(B_InitialSituation!$J$9:$J$153,MATCH($R28,B_InitialSituation!$R$9:$R$153,0)))</f>
      </c>
      <c r="N28" s="434">
        <f t="shared" si="1"/>
      </c>
      <c r="O28" s="9"/>
      <c r="P28" s="9"/>
      <c r="Q28" s="412" t="str">
        <f t="shared" si="3"/>
        <v>CAPINI_1_</v>
      </c>
      <c r="R28" s="412" t="str">
        <f t="shared" si="4"/>
        <v>HAL_1_</v>
      </c>
      <c r="S28" s="412" t="str">
        <f t="shared" si="5"/>
        <v>HAL_1_9</v>
      </c>
      <c r="T28" s="412" t="str">
        <f t="shared" si="2"/>
        <v>FInitial_1_</v>
      </c>
      <c r="U28" s="412" t="str">
        <f t="shared" si="6"/>
        <v>CAPINI_</v>
      </c>
      <c r="V28" s="414">
        <f t="shared" si="7"/>
        <v>1</v>
      </c>
      <c r="W28" s="384"/>
      <c r="X28" s="384"/>
      <c r="Y28" s="384"/>
      <c r="Z28" s="409" t="b">
        <f>INDEX(B_InitialSituation!$X$9:$X$153,MATCH($T28,B_InitialSituation!$Q$9:$Q$153,0))</f>
        <v>0</v>
      </c>
      <c r="AA28" s="384"/>
    </row>
    <row r="29" spans="1:27" s="483" customFormat="1" ht="12.75" customHeight="1">
      <c r="A29" s="4"/>
      <c r="B29" s="5"/>
      <c r="C29" s="25">
        <v>10</v>
      </c>
      <c r="D29" s="945">
        <f>INDEX(B_InitialSituation!$D$9:$D$153,MATCH($S29,B_InitialSituation!$S$9:$S$153,0))</f>
      </c>
      <c r="E29" s="946"/>
      <c r="F29" s="946"/>
      <c r="G29" s="947"/>
      <c r="H29" s="435"/>
      <c r="I29" s="451">
        <f>IF(H29="","",H29*INDEX(B_InitialSituation!$I$9:$I$153,MATCH($Q29,B_InitialSituation!$Q$9:$Q$153,0)))</f>
      </c>
      <c r="J29" s="451">
        <f>IF(H29="","",H29*INDEX(B_InitialSituation!$J$9:$J$153,MATCH($R29,B_InitialSituation!$R$9:$R$153,0)))</f>
      </c>
      <c r="K29" s="436">
        <f t="shared" si="0"/>
      </c>
      <c r="L29" s="451">
        <f>IF(K29="","",K29*INDEX(B_InitialSituation!$I$9:$I$153,MATCH($Q29,B_InitialSituation!$Q$9:$Q$153,0)))</f>
      </c>
      <c r="M29" s="451">
        <f>IF(K29="","",K29*INDEX(B_InitialSituation!$J$9:$J$153,MATCH($R29,B_InitialSituation!$R$9:$R$153,0)))</f>
      </c>
      <c r="N29" s="437">
        <f t="shared" si="1"/>
      </c>
      <c r="O29" s="9"/>
      <c r="P29" s="9"/>
      <c r="Q29" s="412" t="str">
        <f t="shared" si="3"/>
        <v>CAPINI_1_</v>
      </c>
      <c r="R29" s="412" t="str">
        <f t="shared" si="4"/>
        <v>HAL_1_</v>
      </c>
      <c r="S29" s="412" t="str">
        <f t="shared" si="5"/>
        <v>HAL_1_10</v>
      </c>
      <c r="T29" s="412" t="str">
        <f t="shared" si="2"/>
        <v>FInitial_1_</v>
      </c>
      <c r="U29" s="412" t="str">
        <f t="shared" si="6"/>
        <v>CAPINI_</v>
      </c>
      <c r="V29" s="414">
        <f t="shared" si="7"/>
        <v>1</v>
      </c>
      <c r="W29" s="384"/>
      <c r="X29" s="384"/>
      <c r="Y29" s="384"/>
      <c r="Z29" s="409" t="b">
        <f>INDEX(B_InitialSituation!$X$9:$X$153,MATCH($T29,B_InitialSituation!$Q$9:$Q$153,0))</f>
        <v>0</v>
      </c>
      <c r="AA29" s="384"/>
    </row>
    <row r="30" spans="1:27" s="483" customFormat="1" ht="24.75" customHeight="1">
      <c r="A30" s="4"/>
      <c r="B30" s="5"/>
      <c r="C30" s="29">
        <v>11</v>
      </c>
      <c r="D30" s="942" t="str">
        <f aca="true" t="shared" si="8" ref="D30:D35">INDEX(EUconst_FallBackListNames,C30-10)</f>
        <v>Подинсталация с топлинен показател, с риск от изтичане на въглерод</v>
      </c>
      <c r="E30" s="943"/>
      <c r="F30" s="943"/>
      <c r="G30" s="944"/>
      <c r="H30" s="429"/>
      <c r="I30" s="452">
        <f>IF(H30="","",H30*INDEX(B_InitialSituation!$I$9:$I$153,MATCH($Q30,B_InitialSituation!$Q$9:$Q$153,0)))</f>
      </c>
      <c r="J30" s="452">
        <f>IF(H30="","",H30*INDEX(B_InitialSituation!$J$9:$J$153,MATCH($R30,B_InitialSituation!$R$9:$R$153,0)))</f>
      </c>
      <c r="K30" s="430">
        <f t="shared" si="0"/>
      </c>
      <c r="L30" s="452">
        <f>IF(K30="","",K30*INDEX(B_InitialSituation!$I$9:$I$153,MATCH($Q30,B_InitialSituation!$Q$9:$Q$153,0)))</f>
      </c>
      <c r="M30" s="452">
        <f>IF(K30="","",K30*INDEX(B_InitialSituation!$J$9:$J$153,MATCH($R30,B_InitialSituation!$R$9:$R$153,0)))</f>
      </c>
      <c r="N30" s="431">
        <f t="shared" si="1"/>
      </c>
      <c r="O30" s="9"/>
      <c r="P30" s="9"/>
      <c r="Q30" s="412" t="str">
        <f t="shared" si="3"/>
        <v>CAPINI_1_Подинсталация с топлинен показател, с риск от изтичане на въглерод</v>
      </c>
      <c r="R30" s="412" t="str">
        <f t="shared" si="4"/>
        <v>HAL_1_Подинсталация с топлинен показател, с риск от изтичане на въглерод</v>
      </c>
      <c r="S30" s="412" t="str">
        <f t="shared" si="5"/>
        <v>HAL_1_11</v>
      </c>
      <c r="T30" s="412" t="str">
        <f t="shared" si="2"/>
        <v>FInitial_1_Подинсталация с топлинен показател, с риск от изтичане на въглерод</v>
      </c>
      <c r="U30" s="412" t="str">
        <f t="shared" si="6"/>
        <v>CAPINI_Подинсталация с топлинен показател, с риск от изтичане на въглерод</v>
      </c>
      <c r="V30" s="414">
        <f t="shared" si="7"/>
        <v>1</v>
      </c>
      <c r="W30" s="384"/>
      <c r="X30" s="384"/>
      <c r="Y30" s="384"/>
      <c r="Z30" s="409" t="b">
        <f>INDEX(B_InitialSituation!$X$9:$X$153,MATCH($T30,B_InitialSituation!$Q$9:$Q$153,0))</f>
        <v>0</v>
      </c>
      <c r="AA30" s="384"/>
    </row>
    <row r="31" spans="1:27" s="483" customFormat="1" ht="24.75" customHeight="1">
      <c r="A31" s="4"/>
      <c r="B31" s="5"/>
      <c r="C31" s="29">
        <v>12</v>
      </c>
      <c r="D31" s="936" t="str">
        <f t="shared" si="8"/>
        <v>Подинсталация с топлинен показател, без риск от изтичане на въглерод</v>
      </c>
      <c r="E31" s="937"/>
      <c r="F31" s="937"/>
      <c r="G31" s="938"/>
      <c r="H31" s="432"/>
      <c r="I31" s="450">
        <f>IF(H31="","",H31*INDEX(B_InitialSituation!$I$9:$I$153,MATCH($Q31,B_InitialSituation!$Q$9:$Q$153,0)))</f>
      </c>
      <c r="J31" s="450">
        <f>IF(H31="","",H31*INDEX(B_InitialSituation!$J$9:$J$153,MATCH($R31,B_InitialSituation!$R$9:$R$153,0)))</f>
      </c>
      <c r="K31" s="433">
        <f t="shared" si="0"/>
      </c>
      <c r="L31" s="450">
        <f>IF(K31="","",K31*INDEX(B_InitialSituation!$I$9:$I$153,MATCH($Q31,B_InitialSituation!$Q$9:$Q$153,0)))</f>
      </c>
      <c r="M31" s="450">
        <f>IF(K31="","",K31*INDEX(B_InitialSituation!$J$9:$J$153,MATCH($R31,B_InitialSituation!$R$9:$R$153,0)))</f>
      </c>
      <c r="N31" s="434">
        <f t="shared" si="1"/>
      </c>
      <c r="O31" s="9"/>
      <c r="P31" s="9"/>
      <c r="Q31" s="412" t="str">
        <f t="shared" si="3"/>
        <v>CAPINI_1_Подинсталация с топлинен показател, без риск от изтичане на въглерод</v>
      </c>
      <c r="R31" s="412" t="str">
        <f t="shared" si="4"/>
        <v>HAL_1_Подинсталация с топлинен показател, без риск от изтичане на въглерод</v>
      </c>
      <c r="S31" s="412" t="str">
        <f t="shared" si="5"/>
        <v>HAL_1_12</v>
      </c>
      <c r="T31" s="412" t="str">
        <f t="shared" si="2"/>
        <v>FInitial_1_Подинсталация с топлинен показател, без риск от изтичане на въглерод</v>
      </c>
      <c r="U31" s="412" t="str">
        <f t="shared" si="6"/>
        <v>CAPINI_Подинсталация с топлинен показател, без риск от изтичане на въглерод</v>
      </c>
      <c r="V31" s="414">
        <f t="shared" si="7"/>
        <v>1</v>
      </c>
      <c r="W31" s="384"/>
      <c r="X31" s="384"/>
      <c r="Y31" s="384"/>
      <c r="Z31" s="409" t="b">
        <f>INDEX(B_InitialSituation!$X$9:$X$153,MATCH($T31,B_InitialSituation!$Q$9:$Q$153,0))</f>
        <v>0</v>
      </c>
      <c r="AA31" s="384"/>
    </row>
    <row r="32" spans="1:27" s="483" customFormat="1" ht="24.75" customHeight="1">
      <c r="A32" s="4"/>
      <c r="B32" s="5"/>
      <c r="C32" s="29">
        <v>13</v>
      </c>
      <c r="D32" s="936" t="str">
        <f t="shared" si="8"/>
        <v>Подинсталация с горивен показател, с риск от изтичане на въглерод</v>
      </c>
      <c r="E32" s="937"/>
      <c r="F32" s="937"/>
      <c r="G32" s="938"/>
      <c r="H32" s="432"/>
      <c r="I32" s="450">
        <f>IF(H32="","",H32*INDEX(B_InitialSituation!$I$9:$I$153,MATCH($Q32,B_InitialSituation!$Q$9:$Q$153,0)))</f>
      </c>
      <c r="J32" s="450">
        <f>IF(H32="","",H32*INDEX(B_InitialSituation!$J$9:$J$153,MATCH($R32,B_InitialSituation!$R$9:$R$153,0)))</f>
      </c>
      <c r="K32" s="433">
        <f t="shared" si="0"/>
      </c>
      <c r="L32" s="450">
        <f>IF(K32="","",K32*INDEX(B_InitialSituation!$I$9:$I$153,MATCH($Q32,B_InitialSituation!$Q$9:$Q$153,0)))</f>
      </c>
      <c r="M32" s="450">
        <f>IF(K32="","",K32*INDEX(B_InitialSituation!$J$9:$J$153,MATCH($R32,B_InitialSituation!$R$9:$R$153,0)))</f>
      </c>
      <c r="N32" s="434">
        <f t="shared" si="1"/>
      </c>
      <c r="O32" s="9"/>
      <c r="P32" s="9"/>
      <c r="Q32" s="412" t="str">
        <f t="shared" si="3"/>
        <v>CAPINI_1_Подинсталация с горивен показател, с риск от изтичане на въглерод</v>
      </c>
      <c r="R32" s="412" t="str">
        <f t="shared" si="4"/>
        <v>HAL_1_Подинсталация с горивен показател, с риск от изтичане на въглерод</v>
      </c>
      <c r="S32" s="412" t="str">
        <f t="shared" si="5"/>
        <v>HAL_1_13</v>
      </c>
      <c r="T32" s="412" t="str">
        <f t="shared" si="2"/>
        <v>FInitial_1_Подинсталация с горивен показател, с риск от изтичане на въглерод</v>
      </c>
      <c r="U32" s="412" t="str">
        <f t="shared" si="6"/>
        <v>CAPINI_Подинсталация с горивен показател, с риск от изтичане на въглерод</v>
      </c>
      <c r="V32" s="414">
        <f t="shared" si="7"/>
        <v>1</v>
      </c>
      <c r="W32" s="384"/>
      <c r="X32" s="384"/>
      <c r="Y32" s="384"/>
      <c r="Z32" s="409" t="b">
        <f>INDEX(B_InitialSituation!$X$9:$X$153,MATCH($T32,B_InitialSituation!$Q$9:$Q$153,0))</f>
        <v>0</v>
      </c>
      <c r="AA32" s="384"/>
    </row>
    <row r="33" spans="1:27" s="483" customFormat="1" ht="24.75" customHeight="1">
      <c r="A33" s="4"/>
      <c r="B33" s="5"/>
      <c r="C33" s="29">
        <v>14</v>
      </c>
      <c r="D33" s="936" t="str">
        <f t="shared" si="8"/>
        <v>Подинсталация с горивен показател, без риск от изтичане на въглерод</v>
      </c>
      <c r="E33" s="937"/>
      <c r="F33" s="937"/>
      <c r="G33" s="938"/>
      <c r="H33" s="432"/>
      <c r="I33" s="450">
        <f>IF(H33="","",H33*INDEX(B_InitialSituation!$I$9:$I$153,MATCH($Q33,B_InitialSituation!$Q$9:$Q$153,0)))</f>
      </c>
      <c r="J33" s="450">
        <f>IF(H33="","",H33*INDEX(B_InitialSituation!$J$9:$J$153,MATCH($R33,B_InitialSituation!$R$9:$R$153,0)))</f>
      </c>
      <c r="K33" s="433">
        <f t="shared" si="0"/>
      </c>
      <c r="L33" s="450">
        <f>IF(K33="","",K33*INDEX(B_InitialSituation!$I$9:$I$153,MATCH($Q33,B_InitialSituation!$Q$9:$Q$153,0)))</f>
      </c>
      <c r="M33" s="450">
        <f>IF(K33="","",K33*INDEX(B_InitialSituation!$J$9:$J$153,MATCH($R33,B_InitialSituation!$R$9:$R$153,0)))</f>
      </c>
      <c r="N33" s="434">
        <f t="shared" si="1"/>
      </c>
      <c r="O33" s="9"/>
      <c r="P33" s="9"/>
      <c r="Q33" s="412" t="str">
        <f t="shared" si="3"/>
        <v>CAPINI_1_Подинсталация с горивен показател, без риск от изтичане на въглерод</v>
      </c>
      <c r="R33" s="412" t="str">
        <f t="shared" si="4"/>
        <v>HAL_1_Подинсталация с горивен показател, без риск от изтичане на въглерод</v>
      </c>
      <c r="S33" s="412" t="str">
        <f t="shared" si="5"/>
        <v>HAL_1_14</v>
      </c>
      <c r="T33" s="412" t="str">
        <f t="shared" si="2"/>
        <v>FInitial_1_Подинсталация с горивен показател, без риск от изтичане на въглерод</v>
      </c>
      <c r="U33" s="412" t="str">
        <f t="shared" si="6"/>
        <v>CAPINI_Подинсталация с горивен показател, без риск от изтичане на въглерод</v>
      </c>
      <c r="V33" s="414">
        <f t="shared" si="7"/>
        <v>1</v>
      </c>
      <c r="W33" s="384"/>
      <c r="X33" s="384"/>
      <c r="Y33" s="384"/>
      <c r="Z33" s="409" t="b">
        <f>INDEX(B_InitialSituation!$X$9:$X$153,MATCH($T33,B_InitialSituation!$Q$9:$Q$153,0))</f>
        <v>0</v>
      </c>
      <c r="AA33" s="384"/>
    </row>
    <row r="34" spans="1:27" s="483" customFormat="1" ht="24.75" customHeight="1">
      <c r="A34" s="4"/>
      <c r="B34" s="5"/>
      <c r="C34" s="29">
        <v>15</v>
      </c>
      <c r="D34" s="936" t="str">
        <f t="shared" si="8"/>
        <v>Подинсталация с технологични емисии, с риск от изтичане на въглерод</v>
      </c>
      <c r="E34" s="937"/>
      <c r="F34" s="937"/>
      <c r="G34" s="938"/>
      <c r="H34" s="432"/>
      <c r="I34" s="450">
        <f>IF(H34="","",H34*INDEX(B_InitialSituation!$I$9:$I$153,MATCH($Q34,B_InitialSituation!$Q$9:$Q$153,0)))</f>
      </c>
      <c r="J34" s="450">
        <f>IF(H34="","",H34*INDEX(B_InitialSituation!$J$9:$J$153,MATCH($R34,B_InitialSituation!$R$9:$R$153,0)))</f>
      </c>
      <c r="K34" s="433">
        <f t="shared" si="0"/>
      </c>
      <c r="L34" s="450">
        <f>IF(K34="","",K34*INDEX(B_InitialSituation!$I$9:$I$153,MATCH($Q34,B_InitialSituation!$Q$9:$Q$153,0)))</f>
      </c>
      <c r="M34" s="450">
        <f>IF(K34="","",K34*INDEX(B_InitialSituation!$J$9:$J$153,MATCH($R34,B_InitialSituation!$R$9:$R$153,0)))</f>
      </c>
      <c r="N34" s="434">
        <f t="shared" si="1"/>
      </c>
      <c r="O34" s="9"/>
      <c r="P34" s="9"/>
      <c r="Q34" s="412" t="str">
        <f t="shared" si="3"/>
        <v>CAPINI_1_Подинсталация с технологични емисии, с риск от изтичане на въглерод</v>
      </c>
      <c r="R34" s="412" t="str">
        <f t="shared" si="4"/>
        <v>HAL_1_Подинсталация с технологични емисии, с риск от изтичане на въглерод</v>
      </c>
      <c r="S34" s="412" t="str">
        <f t="shared" si="5"/>
        <v>HAL_1_15</v>
      </c>
      <c r="T34" s="412" t="str">
        <f t="shared" si="2"/>
        <v>FInitial_1_Подинсталация с технологични емисии, с риск от изтичане на въглерод</v>
      </c>
      <c r="U34" s="412" t="str">
        <f t="shared" si="6"/>
        <v>CAPINI_Подинсталация с технологични емисии, с риск от изтичане на въглерод</v>
      </c>
      <c r="V34" s="414">
        <f t="shared" si="7"/>
        <v>1</v>
      </c>
      <c r="W34" s="384"/>
      <c r="X34" s="384"/>
      <c r="Y34" s="384"/>
      <c r="Z34" s="409" t="b">
        <f>INDEX(B_InitialSituation!$X$9:$X$153,MATCH($T34,B_InitialSituation!$Q$9:$Q$153,0))</f>
        <v>0</v>
      </c>
      <c r="AA34" s="384"/>
    </row>
    <row r="35" spans="1:27" s="483" customFormat="1" ht="24.75" customHeight="1">
      <c r="A35" s="4"/>
      <c r="B35" s="5"/>
      <c r="C35" s="25">
        <v>16</v>
      </c>
      <c r="D35" s="936" t="str">
        <f t="shared" si="8"/>
        <v>Подинсталация с технологични емисии, без риск от изтичане на въглерод</v>
      </c>
      <c r="E35" s="937"/>
      <c r="F35" s="937"/>
      <c r="G35" s="938"/>
      <c r="H35" s="438"/>
      <c r="I35" s="453">
        <f>IF(H35="","",H35*INDEX(B_InitialSituation!$I$9:$I$153,MATCH($Q35,B_InitialSituation!$Q$9:$Q$153,0)))</f>
      </c>
      <c r="J35" s="453">
        <f>IF(H35="","",H35*INDEX(B_InitialSituation!$J$9:$J$153,MATCH($R35,B_InitialSituation!$R$9:$R$153,0)))</f>
      </c>
      <c r="K35" s="439">
        <f t="shared" si="0"/>
      </c>
      <c r="L35" s="453">
        <f>IF(K35="","",K35*INDEX(B_InitialSituation!$I$9:$I$153,MATCH($Q35,B_InitialSituation!$Q$9:$Q$153,0)))</f>
      </c>
      <c r="M35" s="453">
        <f>IF(K35="","",K35*INDEX(B_InitialSituation!$J$9:$J$153,MATCH($R35,B_InitialSituation!$R$9:$R$153,0)))</f>
      </c>
      <c r="N35" s="440">
        <f t="shared" si="1"/>
      </c>
      <c r="O35" s="9"/>
      <c r="P35" s="9"/>
      <c r="Q35" s="412" t="str">
        <f t="shared" si="3"/>
        <v>CAPINI_1_Подинсталация с технологични емисии, без риск от изтичане на въглерод</v>
      </c>
      <c r="R35" s="412" t="str">
        <f t="shared" si="4"/>
        <v>HAL_1_Подинсталация с технологични емисии, без риск от изтичане на въглерод</v>
      </c>
      <c r="S35" s="412" t="str">
        <f t="shared" si="5"/>
        <v>HAL_1_16</v>
      </c>
      <c r="T35" s="412" t="str">
        <f t="shared" si="2"/>
        <v>FInitial_1_Подинсталация с технологични емисии, без риск от изтичане на въглерод</v>
      </c>
      <c r="U35" s="412" t="str">
        <f t="shared" si="6"/>
        <v>CAPINI_Подинсталация с технологични емисии, без риск от изтичане на въглерод</v>
      </c>
      <c r="V35" s="414">
        <f t="shared" si="7"/>
        <v>1</v>
      </c>
      <c r="W35" s="384"/>
      <c r="X35" s="384"/>
      <c r="Y35" s="384"/>
      <c r="Z35" s="409" t="b">
        <f>INDEX(B_InitialSituation!$X$9:$X$153,MATCH($T35,B_InitialSituation!$Q$9:$Q$153,0))</f>
        <v>0</v>
      </c>
      <c r="AA35" s="384"/>
    </row>
    <row r="36" spans="1:27" s="483" customFormat="1" ht="12.75" customHeight="1" thickBot="1">
      <c r="A36" s="4"/>
      <c r="B36" s="5"/>
      <c r="C36" s="374">
        <v>17</v>
      </c>
      <c r="D36" s="939" t="str">
        <f>EUconst_PrivateHouseholds</f>
        <v>За частни жилища</v>
      </c>
      <c r="E36" s="940"/>
      <c r="F36" s="940"/>
      <c r="G36" s="941"/>
      <c r="H36" s="422"/>
      <c r="I36" s="441"/>
      <c r="J36" s="441"/>
      <c r="K36" s="425">
        <f t="shared" si="0"/>
      </c>
      <c r="L36" s="441"/>
      <c r="M36" s="441"/>
      <c r="N36" s="428">
        <f t="shared" si="1"/>
      </c>
      <c r="O36" s="9"/>
      <c r="P36" s="9"/>
      <c r="Q36" s="402"/>
      <c r="R36" s="402"/>
      <c r="S36" s="384"/>
      <c r="T36" s="412" t="str">
        <f t="shared" si="2"/>
        <v>FInitial_1_За частни жилища</v>
      </c>
      <c r="U36" s="384"/>
      <c r="V36" s="415">
        <f t="shared" si="7"/>
        <v>1</v>
      </c>
      <c r="W36" s="384"/>
      <c r="X36" s="384"/>
      <c r="Y36" s="384"/>
      <c r="Z36" s="409" t="b">
        <f>INDEX(B_InitialSituation!$X$9:$X$153,MATCH($T36,B_InitialSituation!$Q$9:$Q$153,0))</f>
        <v>0</v>
      </c>
      <c r="AA36" s="384"/>
    </row>
    <row r="37" spans="1:27" s="483" customFormat="1" ht="12.75" customHeight="1">
      <c r="A37" s="4"/>
      <c r="B37" s="5"/>
      <c r="C37" s="7"/>
      <c r="D37" s="5"/>
      <c r="E37" s="5"/>
      <c r="F37" s="5"/>
      <c r="G37" s="5"/>
      <c r="H37" s="5"/>
      <c r="I37" s="5"/>
      <c r="J37" s="5"/>
      <c r="K37" s="5"/>
      <c r="L37" s="5"/>
      <c r="M37" s="9"/>
      <c r="N37" s="9"/>
      <c r="O37" s="9"/>
      <c r="P37" s="9"/>
      <c r="Q37" s="402"/>
      <c r="R37" s="402"/>
      <c r="S37" s="384"/>
      <c r="T37" s="384"/>
      <c r="U37" s="384"/>
      <c r="V37" s="384"/>
      <c r="W37" s="384"/>
      <c r="X37" s="384"/>
      <c r="Y37" s="384"/>
      <c r="Z37" s="384"/>
      <c r="AA37" s="384"/>
    </row>
    <row r="38" spans="1:27" s="483" customFormat="1" ht="12.75" customHeight="1">
      <c r="A38" s="4"/>
      <c r="B38" s="5"/>
      <c r="C38" s="7"/>
      <c r="D38" s="5"/>
      <c r="E38" s="5"/>
      <c r="F38" s="5"/>
      <c r="G38" s="5"/>
      <c r="H38" s="5"/>
      <c r="I38" s="5"/>
      <c r="J38" s="5"/>
      <c r="K38" s="5"/>
      <c r="L38" s="5"/>
      <c r="M38" s="9"/>
      <c r="N38" s="9"/>
      <c r="O38" s="9"/>
      <c r="P38" s="9"/>
      <c r="Q38" s="402"/>
      <c r="R38" s="384"/>
      <c r="S38" s="384"/>
      <c r="T38" s="384"/>
      <c r="U38" s="384"/>
      <c r="V38" s="384"/>
      <c r="W38" s="384"/>
      <c r="X38" s="384"/>
      <c r="Y38" s="384"/>
      <c r="Z38" s="384"/>
      <c r="AA38" s="384"/>
    </row>
    <row r="39" spans="1:27" s="486" customFormat="1" ht="18" customHeight="1">
      <c r="A39" s="207"/>
      <c r="B39" s="298"/>
      <c r="C39" s="302">
        <v>2</v>
      </c>
      <c r="D39" s="934" t="str">
        <f>Translations!$B$537&amp;" "&amp;C39</f>
        <v>Прехвърляне от инсталация 2</v>
      </c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298"/>
      <c r="P39" s="298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</row>
    <row r="40" spans="1:27" s="483" customFormat="1" ht="15">
      <c r="A40" s="4"/>
      <c r="B40" s="18"/>
      <c r="C40" s="16"/>
      <c r="D40" s="737" t="str">
        <f>Translations!$B$631</f>
        <v>Моля въведете тук дела на квотите, капацитета и равнището на активност, прехвърляни от втората инсталация.</v>
      </c>
      <c r="E40" s="688"/>
      <c r="F40" s="688"/>
      <c r="G40" s="688"/>
      <c r="H40" s="688"/>
      <c r="I40" s="688"/>
      <c r="J40" s="688"/>
      <c r="K40" s="688"/>
      <c r="L40" s="688"/>
      <c r="M40" s="688"/>
      <c r="N40" s="7"/>
      <c r="O40" s="7"/>
      <c r="P40" s="18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</row>
    <row r="41" spans="1:27" s="483" customFormat="1" ht="4.5" customHeight="1">
      <c r="A41" s="4"/>
      <c r="B41" s="18"/>
      <c r="C41" s="1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8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</row>
    <row r="42" spans="1:27" s="483" customFormat="1" ht="13.5" thickBot="1">
      <c r="A42" s="4"/>
      <c r="B42" s="18"/>
      <c r="C42" s="7"/>
      <c r="D42" s="7"/>
      <c r="E42" s="7"/>
      <c r="F42" s="7"/>
      <c r="G42" s="7"/>
      <c r="H42" s="346" t="str">
        <f>Translations!$B$604</f>
        <v>от:</v>
      </c>
      <c r="I42" s="7"/>
      <c r="J42" s="7"/>
      <c r="K42" s="7"/>
      <c r="L42" s="7"/>
      <c r="M42" s="7"/>
      <c r="N42" s="18"/>
      <c r="O42" s="3"/>
      <c r="P42" s="18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</row>
    <row r="43" spans="1:27" s="486" customFormat="1" ht="25.5" customHeight="1" thickBot="1">
      <c r="A43" s="207"/>
      <c r="B43" s="208"/>
      <c r="C43" s="300"/>
      <c r="D43" s="208"/>
      <c r="E43" s="7"/>
      <c r="F43" s="7"/>
      <c r="G43" s="7"/>
      <c r="H43" s="920">
        <f>INDEX(A_InstallationData!$J$200:$J$273,MATCH(C39,A_InstallationData!$R$200:$R$273,0))</f>
      </c>
      <c r="I43" s="921"/>
      <c r="J43" s="922"/>
      <c r="K43" s="7"/>
      <c r="L43" s="7"/>
      <c r="M43" s="7"/>
      <c r="N43" s="303"/>
      <c r="O43" s="9"/>
      <c r="P43" s="9"/>
      <c r="Q43" s="419">
        <f>C39</f>
        <v>2</v>
      </c>
      <c r="R43" s="406"/>
      <c r="S43" s="406"/>
      <c r="T43" s="406"/>
      <c r="U43" s="406"/>
      <c r="V43" s="406"/>
      <c r="W43" s="406"/>
      <c r="X43" s="406"/>
      <c r="Y43" s="406"/>
      <c r="Z43" s="406"/>
      <c r="AA43" s="406"/>
    </row>
    <row r="44" spans="1:27" s="483" customFormat="1" ht="4.5" customHeight="1">
      <c r="A44" s="4"/>
      <c r="B44" s="5"/>
      <c r="C44" s="7"/>
      <c r="D44" s="5"/>
      <c r="E44" s="5"/>
      <c r="F44" s="5"/>
      <c r="G44" s="7"/>
      <c r="H44" s="5"/>
      <c r="I44" s="289"/>
      <c r="J44" s="5"/>
      <c r="K44" s="5"/>
      <c r="L44" s="5"/>
      <c r="M44" s="9"/>
      <c r="N44" s="280"/>
      <c r="O44" s="9"/>
      <c r="P44" s="9"/>
      <c r="Q44" s="402"/>
      <c r="R44" s="384"/>
      <c r="S44" s="384"/>
      <c r="T44" s="384"/>
      <c r="U44" s="384"/>
      <c r="V44" s="384"/>
      <c r="W44" s="384"/>
      <c r="X44" s="384"/>
      <c r="Y44" s="384"/>
      <c r="Z44" s="384"/>
      <c r="AA44" s="384"/>
    </row>
    <row r="45" spans="1:27" s="483" customFormat="1" ht="12.75" customHeight="1" thickBot="1">
      <c r="A45" s="4"/>
      <c r="B45" s="5"/>
      <c r="C45" s="7"/>
      <c r="D45" s="5"/>
      <c r="E45" s="5"/>
      <c r="F45" s="5"/>
      <c r="G45" s="7"/>
      <c r="H45" s="377" t="str">
        <f>Translations!$B$605</f>
        <v>на:</v>
      </c>
      <c r="I45" s="378"/>
      <c r="J45" s="41"/>
      <c r="K45" s="377" t="str">
        <f>Translations!$B$605</f>
        <v>на:</v>
      </c>
      <c r="L45" s="7"/>
      <c r="M45" s="7"/>
      <c r="N45" s="280"/>
      <c r="O45" s="9"/>
      <c r="P45" s="9"/>
      <c r="Q45" s="402"/>
      <c r="R45" s="384"/>
      <c r="S45" s="384"/>
      <c r="T45" s="384"/>
      <c r="U45" s="384"/>
      <c r="V45" s="384"/>
      <c r="W45" s="384"/>
      <c r="X45" s="384"/>
      <c r="Y45" s="384"/>
      <c r="Z45" s="384"/>
      <c r="AA45" s="384"/>
    </row>
    <row r="46" spans="1:27" s="483" customFormat="1" ht="25.5" customHeight="1" thickBot="1">
      <c r="A46" s="4"/>
      <c r="B46" s="5"/>
      <c r="C46" s="5"/>
      <c r="D46" s="5"/>
      <c r="E46" s="5"/>
      <c r="F46" s="5"/>
      <c r="G46" s="7"/>
      <c r="H46" s="920">
        <f>IF($H43="","",INDEX(A_InstallationData!$J$200:$J$273,MATCH(R46,A_InstallationData!$R$200:$R$273,0)))</f>
      </c>
      <c r="I46" s="921"/>
      <c r="J46" s="922"/>
      <c r="K46" s="920">
        <f>IF($H43="","",INDEX(A_InstallationData!$J$200:$J$273,MATCH(U46,A_InstallationData!$R$200:$R$273,0)))</f>
      </c>
      <c r="L46" s="921"/>
      <c r="M46" s="922"/>
      <c r="N46" s="9"/>
      <c r="O46" s="9"/>
      <c r="P46" s="9"/>
      <c r="Q46" s="402"/>
      <c r="R46" s="456">
        <v>3</v>
      </c>
      <c r="S46" s="384"/>
      <c r="T46" s="384"/>
      <c r="U46" s="456">
        <v>4</v>
      </c>
      <c r="V46" s="410" t="s">
        <v>532</v>
      </c>
      <c r="W46" s="384"/>
      <c r="X46" s="384"/>
      <c r="Y46" s="384"/>
      <c r="Z46" s="384"/>
      <c r="AA46" s="384"/>
    </row>
    <row r="47" spans="1:27" s="483" customFormat="1" ht="38.25" customHeight="1" thickBot="1">
      <c r="A47" s="4"/>
      <c r="B47" s="5"/>
      <c r="C47" s="20"/>
      <c r="D47" s="923" t="str">
        <f>Translations!$B$402</f>
        <v>Подинсталация</v>
      </c>
      <c r="E47" s="924"/>
      <c r="F47" s="924"/>
      <c r="G47" s="291"/>
      <c r="H47" s="379" t="str">
        <f>Translations!$B$606</f>
        <v>Дял</v>
      </c>
      <c r="I47" s="314" t="str">
        <f>Translations!$B$607</f>
        <v>Инсталиран капацитет (мощност)</v>
      </c>
      <c r="J47" s="381" t="str">
        <f>Translations!$B$608</f>
        <v>Годишно равнище на активност</v>
      </c>
      <c r="K47" s="382" t="str">
        <f>Translations!$B$606</f>
        <v>Дял</v>
      </c>
      <c r="L47" s="66" t="str">
        <f>Translations!$B$607</f>
        <v>Инсталиран капацитет (мощност)</v>
      </c>
      <c r="M47" s="383" t="str">
        <f>Translations!$B$608</f>
        <v>Годишно равнище на активност</v>
      </c>
      <c r="N47" s="546" t="str">
        <f>Translations!$B$477</f>
        <v>съобщение за грешка</v>
      </c>
      <c r="O47" s="9"/>
      <c r="P47" s="9"/>
      <c r="Q47" s="402"/>
      <c r="R47" s="384"/>
      <c r="S47" s="384"/>
      <c r="T47" s="384"/>
      <c r="U47" s="384"/>
      <c r="V47" s="410"/>
      <c r="W47" s="384"/>
      <c r="X47" s="384"/>
      <c r="Y47" s="384"/>
      <c r="Z47" s="408" t="s">
        <v>293</v>
      </c>
      <c r="AA47" s="384"/>
    </row>
    <row r="48" spans="1:27" s="483" customFormat="1" ht="12.75" customHeight="1" thickBot="1">
      <c r="A48" s="4"/>
      <c r="B48" s="5"/>
      <c r="C48" s="380">
        <v>0</v>
      </c>
      <c r="D48" s="925" t="str">
        <f>Translations!$B$501</f>
        <v>Етап преди започване</v>
      </c>
      <c r="E48" s="926"/>
      <c r="F48" s="926"/>
      <c r="G48" s="927"/>
      <c r="H48" s="422"/>
      <c r="I48" s="423"/>
      <c r="J48" s="424"/>
      <c r="K48" s="425">
        <f aca="true" t="shared" si="9" ref="K48:K65">IF(H48="","",1-H48)</f>
      </c>
      <c r="L48" s="426"/>
      <c r="M48" s="427"/>
      <c r="N48" s="428">
        <f aca="true" t="shared" si="10" ref="N48:N65">IF(AND($Z48=TRUE,H48=""),EUconst_Incomplete,IF(H48&gt;1,EUconst_Inconsistent,""))</f>
      </c>
      <c r="O48" s="9"/>
      <c r="P48" s="442"/>
      <c r="Q48" s="402"/>
      <c r="R48" s="384"/>
      <c r="S48" s="384"/>
      <c r="T48" s="412" t="str">
        <f aca="true" t="shared" si="11" ref="T48:T65">EUconst_CNTR_Finitial&amp;$V48&amp;"_"&amp;$D48</f>
        <v>FInitial_2_Етап преди започване</v>
      </c>
      <c r="U48" s="384"/>
      <c r="V48" s="413">
        <f>C39</f>
        <v>2</v>
      </c>
      <c r="W48" s="384"/>
      <c r="X48" s="384"/>
      <c r="Y48" s="384"/>
      <c r="Z48" s="409" t="b">
        <f>INDEX(B_InitialSituation!$X$9:$X$153,MATCH($T48,B_InitialSituation!$Q$9:$Q$153,0))</f>
        <v>0</v>
      </c>
      <c r="AA48" s="384"/>
    </row>
    <row r="49" spans="1:27" s="483" customFormat="1" ht="12.75" customHeight="1">
      <c r="A49" s="4"/>
      <c r="B49" s="5"/>
      <c r="C49" s="29">
        <v>1</v>
      </c>
      <c r="D49" s="928">
        <f>INDEX(B_InitialSituation!$D$9:$D$153,MATCH($S49,B_InitialSituation!$S$9:$S$153,0))</f>
      </c>
      <c r="E49" s="929"/>
      <c r="F49" s="929"/>
      <c r="G49" s="930"/>
      <c r="H49" s="429"/>
      <c r="I49" s="449">
        <f>IF(H49="","",H49*INDEX(B_InitialSituation!$I$9:$I$153,MATCH($Q49,B_InitialSituation!$Q$9:$Q$153,0)))</f>
      </c>
      <c r="J49" s="449">
        <f>IF(H49="","",H49*INDEX(B_InitialSituation!$J$9:$J$153,MATCH($R49,B_InitialSituation!$R$9:$R$153,0)))</f>
      </c>
      <c r="K49" s="430">
        <f t="shared" si="9"/>
      </c>
      <c r="L49" s="449">
        <f>IF(K49="","",K49*INDEX(B_InitialSituation!$I$9:$I$153,MATCH($Q49,B_InitialSituation!$Q$9:$Q$153,0)))</f>
      </c>
      <c r="M49" s="449">
        <f>IF(K49="","",K49*INDEX(B_InitialSituation!$J$9:$J$153,MATCH($R49,B_InitialSituation!$R$9:$R$153,0)))</f>
      </c>
      <c r="N49" s="431">
        <f t="shared" si="10"/>
      </c>
      <c r="O49" s="9"/>
      <c r="P49" s="9"/>
      <c r="Q49" s="412" t="str">
        <f aca="true" t="shared" si="12" ref="Q49:Q64">EUconst_CNTR_CAPINI&amp;$V49&amp;"_"&amp;$D49</f>
        <v>CAPINI_2_</v>
      </c>
      <c r="R49" s="412" t="str">
        <f aca="true" t="shared" si="13" ref="R49:R64">EUconst_CNTR_HAL&amp;$V49&amp;"_"&amp;$D49</f>
        <v>HAL_2_</v>
      </c>
      <c r="S49" s="412" t="str">
        <f aca="true" t="shared" si="14" ref="S49:S64">EUconst_CNTR_HAL&amp;$V49&amp;"_"&amp;$C49</f>
        <v>HAL_2_1</v>
      </c>
      <c r="T49" s="412" t="str">
        <f t="shared" si="11"/>
        <v>FInitial_2_</v>
      </c>
      <c r="U49" s="412" t="str">
        <f aca="true" t="shared" si="15" ref="U49:U64">EUconst_CNTR_CAPINI&amp;$D49</f>
        <v>CAPINI_</v>
      </c>
      <c r="V49" s="414">
        <f aca="true" t="shared" si="16" ref="V49:V65">V48</f>
        <v>2</v>
      </c>
      <c r="W49" s="384"/>
      <c r="X49" s="384"/>
      <c r="Y49" s="384"/>
      <c r="Z49" s="409" t="b">
        <f>INDEX(B_InitialSituation!$X$9:$X$153,MATCH($T49,B_InitialSituation!$Q$9:$Q$153,0))</f>
        <v>0</v>
      </c>
      <c r="AA49" s="384"/>
    </row>
    <row r="50" spans="1:27" s="483" customFormat="1" ht="12.75" customHeight="1">
      <c r="A50" s="4"/>
      <c r="B50" s="5"/>
      <c r="C50" s="29">
        <v>2</v>
      </c>
      <c r="D50" s="931">
        <f>INDEX(B_InitialSituation!$D$9:$D$153,MATCH($S50,B_InitialSituation!$S$9:$S$153,0))</f>
      </c>
      <c r="E50" s="932"/>
      <c r="F50" s="932"/>
      <c r="G50" s="933"/>
      <c r="H50" s="432"/>
      <c r="I50" s="450">
        <f>IF(H50="","",H50*INDEX(B_InitialSituation!$I$9:$I$153,MATCH($Q50,B_InitialSituation!$Q$9:$Q$153,0)))</f>
      </c>
      <c r="J50" s="450">
        <f>IF(H50="","",H50*INDEX(B_InitialSituation!$J$9:$J$153,MATCH($R50,B_InitialSituation!$R$9:$R$153,0)))</f>
      </c>
      <c r="K50" s="433">
        <f t="shared" si="9"/>
      </c>
      <c r="L50" s="450">
        <f>IF(K50="","",K50*INDEX(B_InitialSituation!$I$9:$I$153,MATCH($Q50,B_InitialSituation!$Q$9:$Q$153,0)))</f>
      </c>
      <c r="M50" s="450">
        <f>IF(K50="","",K50*INDEX(B_InitialSituation!$J$9:$J$153,MATCH($R50,B_InitialSituation!$R$9:$R$153,0)))</f>
      </c>
      <c r="N50" s="434">
        <f t="shared" si="10"/>
      </c>
      <c r="O50" s="9"/>
      <c r="P50" s="9"/>
      <c r="Q50" s="412" t="str">
        <f t="shared" si="12"/>
        <v>CAPINI_2_</v>
      </c>
      <c r="R50" s="412" t="str">
        <f t="shared" si="13"/>
        <v>HAL_2_</v>
      </c>
      <c r="S50" s="412" t="str">
        <f t="shared" si="14"/>
        <v>HAL_2_2</v>
      </c>
      <c r="T50" s="412" t="str">
        <f t="shared" si="11"/>
        <v>FInitial_2_</v>
      </c>
      <c r="U50" s="412" t="str">
        <f t="shared" si="15"/>
        <v>CAPINI_</v>
      </c>
      <c r="V50" s="414">
        <f t="shared" si="16"/>
        <v>2</v>
      </c>
      <c r="W50" s="384"/>
      <c r="X50" s="384"/>
      <c r="Y50" s="384"/>
      <c r="Z50" s="409" t="b">
        <f>INDEX(B_InitialSituation!$X$9:$X$153,MATCH($T50,B_InitialSituation!$Q$9:$Q$153,0))</f>
        <v>0</v>
      </c>
      <c r="AA50" s="384"/>
    </row>
    <row r="51" spans="1:27" s="483" customFormat="1" ht="12.75" customHeight="1">
      <c r="A51" s="4"/>
      <c r="B51" s="5"/>
      <c r="C51" s="29">
        <v>3</v>
      </c>
      <c r="D51" s="931">
        <f>INDEX(B_InitialSituation!$D$9:$D$153,MATCH($S51,B_InitialSituation!$S$9:$S$153,0))</f>
      </c>
      <c r="E51" s="932"/>
      <c r="F51" s="932"/>
      <c r="G51" s="933"/>
      <c r="H51" s="432"/>
      <c r="I51" s="450">
        <f>IF(H51="","",H51*INDEX(B_InitialSituation!$I$9:$I$153,MATCH($Q51,B_InitialSituation!$Q$9:$Q$153,0)))</f>
      </c>
      <c r="J51" s="450">
        <f>IF(H51="","",H51*INDEX(B_InitialSituation!$J$9:$J$153,MATCH($R51,B_InitialSituation!$R$9:$R$153,0)))</f>
      </c>
      <c r="K51" s="433">
        <f t="shared" si="9"/>
      </c>
      <c r="L51" s="450">
        <f>IF(K51="","",K51*INDEX(B_InitialSituation!$I$9:$I$153,MATCH($Q51,B_InitialSituation!$Q$9:$Q$153,0)))</f>
      </c>
      <c r="M51" s="450">
        <f>IF(K51="","",K51*INDEX(B_InitialSituation!$J$9:$J$153,MATCH($R51,B_InitialSituation!$R$9:$R$153,0)))</f>
      </c>
      <c r="N51" s="434">
        <f t="shared" si="10"/>
      </c>
      <c r="O51" s="9"/>
      <c r="P51" s="9"/>
      <c r="Q51" s="412" t="str">
        <f t="shared" si="12"/>
        <v>CAPINI_2_</v>
      </c>
      <c r="R51" s="412" t="str">
        <f t="shared" si="13"/>
        <v>HAL_2_</v>
      </c>
      <c r="S51" s="412" t="str">
        <f t="shared" si="14"/>
        <v>HAL_2_3</v>
      </c>
      <c r="T51" s="412" t="str">
        <f t="shared" si="11"/>
        <v>FInitial_2_</v>
      </c>
      <c r="U51" s="412" t="str">
        <f t="shared" si="15"/>
        <v>CAPINI_</v>
      </c>
      <c r="V51" s="414">
        <f t="shared" si="16"/>
        <v>2</v>
      </c>
      <c r="W51" s="384"/>
      <c r="X51" s="384"/>
      <c r="Y51" s="384"/>
      <c r="Z51" s="409" t="b">
        <f>INDEX(B_InitialSituation!$X$9:$X$153,MATCH($T51,B_InitialSituation!$Q$9:$Q$153,0))</f>
        <v>0</v>
      </c>
      <c r="AA51" s="384"/>
    </row>
    <row r="52" spans="1:27" s="483" customFormat="1" ht="12.75" customHeight="1">
      <c r="A52" s="4"/>
      <c r="B52" s="5"/>
      <c r="C52" s="29">
        <v>4</v>
      </c>
      <c r="D52" s="931">
        <f>INDEX(B_InitialSituation!$D$9:$D$153,MATCH($S52,B_InitialSituation!$S$9:$S$153,0))</f>
      </c>
      <c r="E52" s="932"/>
      <c r="F52" s="932"/>
      <c r="G52" s="933"/>
      <c r="H52" s="432"/>
      <c r="I52" s="450">
        <f>IF(H52="","",H52*INDEX(B_InitialSituation!$I$9:$I$153,MATCH($Q52,B_InitialSituation!$Q$9:$Q$153,0)))</f>
      </c>
      <c r="J52" s="450">
        <f>IF(H52="","",H52*INDEX(B_InitialSituation!$J$9:$J$153,MATCH($R52,B_InitialSituation!$R$9:$R$153,0)))</f>
      </c>
      <c r="K52" s="433">
        <f t="shared" si="9"/>
      </c>
      <c r="L52" s="450">
        <f>IF(K52="","",K52*INDEX(B_InitialSituation!$I$9:$I$153,MATCH($Q52,B_InitialSituation!$Q$9:$Q$153,0)))</f>
      </c>
      <c r="M52" s="450">
        <f>IF(K52="","",K52*INDEX(B_InitialSituation!$J$9:$J$153,MATCH($R52,B_InitialSituation!$R$9:$R$153,0)))</f>
      </c>
      <c r="N52" s="434">
        <f t="shared" si="10"/>
      </c>
      <c r="O52" s="9"/>
      <c r="P52" s="9"/>
      <c r="Q52" s="412" t="str">
        <f t="shared" si="12"/>
        <v>CAPINI_2_</v>
      </c>
      <c r="R52" s="412" t="str">
        <f t="shared" si="13"/>
        <v>HAL_2_</v>
      </c>
      <c r="S52" s="412" t="str">
        <f t="shared" si="14"/>
        <v>HAL_2_4</v>
      </c>
      <c r="T52" s="412" t="str">
        <f t="shared" si="11"/>
        <v>FInitial_2_</v>
      </c>
      <c r="U52" s="412" t="str">
        <f t="shared" si="15"/>
        <v>CAPINI_</v>
      </c>
      <c r="V52" s="414">
        <f t="shared" si="16"/>
        <v>2</v>
      </c>
      <c r="W52" s="384"/>
      <c r="X52" s="384"/>
      <c r="Y52" s="384"/>
      <c r="Z52" s="409" t="b">
        <f>INDEX(B_InitialSituation!$X$9:$X$153,MATCH($T52,B_InitialSituation!$Q$9:$Q$153,0))</f>
        <v>0</v>
      </c>
      <c r="AA52" s="384"/>
    </row>
    <row r="53" spans="1:27" s="483" customFormat="1" ht="12.75" customHeight="1">
      <c r="A53" s="4"/>
      <c r="B53" s="5"/>
      <c r="C53" s="29">
        <v>5</v>
      </c>
      <c r="D53" s="931">
        <f>INDEX(B_InitialSituation!$D$9:$D$153,MATCH($S53,B_InitialSituation!$S$9:$S$153,0))</f>
      </c>
      <c r="E53" s="932"/>
      <c r="F53" s="932"/>
      <c r="G53" s="933"/>
      <c r="H53" s="432"/>
      <c r="I53" s="450">
        <f>IF(H53="","",H53*INDEX(B_InitialSituation!$I$9:$I$153,MATCH($Q53,B_InitialSituation!$Q$9:$Q$153,0)))</f>
      </c>
      <c r="J53" s="450">
        <f>IF(H53="","",H53*INDEX(B_InitialSituation!$J$9:$J$153,MATCH($R53,B_InitialSituation!$R$9:$R$153,0)))</f>
      </c>
      <c r="K53" s="433">
        <f t="shared" si="9"/>
      </c>
      <c r="L53" s="450">
        <f>IF(K53="","",K53*INDEX(B_InitialSituation!$I$9:$I$153,MATCH($Q53,B_InitialSituation!$Q$9:$Q$153,0)))</f>
      </c>
      <c r="M53" s="450">
        <f>IF(K53="","",K53*INDEX(B_InitialSituation!$J$9:$J$153,MATCH($R53,B_InitialSituation!$R$9:$R$153,0)))</f>
      </c>
      <c r="N53" s="434">
        <f t="shared" si="10"/>
      </c>
      <c r="O53" s="9"/>
      <c r="P53" s="9"/>
      <c r="Q53" s="412" t="str">
        <f t="shared" si="12"/>
        <v>CAPINI_2_</v>
      </c>
      <c r="R53" s="412" t="str">
        <f t="shared" si="13"/>
        <v>HAL_2_</v>
      </c>
      <c r="S53" s="412" t="str">
        <f t="shared" si="14"/>
        <v>HAL_2_5</v>
      </c>
      <c r="T53" s="412" t="str">
        <f t="shared" si="11"/>
        <v>FInitial_2_</v>
      </c>
      <c r="U53" s="412" t="str">
        <f t="shared" si="15"/>
        <v>CAPINI_</v>
      </c>
      <c r="V53" s="414">
        <f t="shared" si="16"/>
        <v>2</v>
      </c>
      <c r="W53" s="384"/>
      <c r="X53" s="384"/>
      <c r="Y53" s="384"/>
      <c r="Z53" s="409" t="b">
        <f>INDEX(B_InitialSituation!$X$9:$X$153,MATCH($T53,B_InitialSituation!$Q$9:$Q$153,0))</f>
        <v>0</v>
      </c>
      <c r="AA53" s="384"/>
    </row>
    <row r="54" spans="1:27" s="483" customFormat="1" ht="12.75" customHeight="1">
      <c r="A54" s="4"/>
      <c r="B54" s="5"/>
      <c r="C54" s="29">
        <v>6</v>
      </c>
      <c r="D54" s="931">
        <f>INDEX(B_InitialSituation!$D$9:$D$153,MATCH($S54,B_InitialSituation!$S$9:$S$153,0))</f>
      </c>
      <c r="E54" s="932"/>
      <c r="F54" s="932"/>
      <c r="G54" s="933"/>
      <c r="H54" s="432"/>
      <c r="I54" s="450">
        <f>IF(H54="","",H54*INDEX(B_InitialSituation!$I$9:$I$153,MATCH($Q54,B_InitialSituation!$Q$9:$Q$153,0)))</f>
      </c>
      <c r="J54" s="450">
        <f>IF(H54="","",H54*INDEX(B_InitialSituation!$J$9:$J$153,MATCH($R54,B_InitialSituation!$R$9:$R$153,0)))</f>
      </c>
      <c r="K54" s="433">
        <f t="shared" si="9"/>
      </c>
      <c r="L54" s="450">
        <f>IF(K54="","",K54*INDEX(B_InitialSituation!$I$9:$I$153,MATCH($Q54,B_InitialSituation!$Q$9:$Q$153,0)))</f>
      </c>
      <c r="M54" s="450">
        <f>IF(K54="","",K54*INDEX(B_InitialSituation!$J$9:$J$153,MATCH($R54,B_InitialSituation!$R$9:$R$153,0)))</f>
      </c>
      <c r="N54" s="434">
        <f t="shared" si="10"/>
      </c>
      <c r="O54" s="9"/>
      <c r="P54" s="9"/>
      <c r="Q54" s="412" t="str">
        <f t="shared" si="12"/>
        <v>CAPINI_2_</v>
      </c>
      <c r="R54" s="412" t="str">
        <f t="shared" si="13"/>
        <v>HAL_2_</v>
      </c>
      <c r="S54" s="412" t="str">
        <f t="shared" si="14"/>
        <v>HAL_2_6</v>
      </c>
      <c r="T54" s="412" t="str">
        <f t="shared" si="11"/>
        <v>FInitial_2_</v>
      </c>
      <c r="U54" s="412" t="str">
        <f t="shared" si="15"/>
        <v>CAPINI_</v>
      </c>
      <c r="V54" s="414">
        <f t="shared" si="16"/>
        <v>2</v>
      </c>
      <c r="W54" s="384"/>
      <c r="X54" s="384"/>
      <c r="Y54" s="384"/>
      <c r="Z54" s="409" t="b">
        <f>INDEX(B_InitialSituation!$X$9:$X$153,MATCH($T54,B_InitialSituation!$Q$9:$Q$153,0))</f>
        <v>0</v>
      </c>
      <c r="AA54" s="384"/>
    </row>
    <row r="55" spans="1:27" s="483" customFormat="1" ht="12.75" customHeight="1">
      <c r="A55" s="4"/>
      <c r="B55" s="5"/>
      <c r="C55" s="29">
        <v>7</v>
      </c>
      <c r="D55" s="931">
        <f>INDEX(B_InitialSituation!$D$9:$D$153,MATCH($S55,B_InitialSituation!$S$9:$S$153,0))</f>
      </c>
      <c r="E55" s="932"/>
      <c r="F55" s="932"/>
      <c r="G55" s="933"/>
      <c r="H55" s="432"/>
      <c r="I55" s="450">
        <f>IF(H55="","",H55*INDEX(B_InitialSituation!$I$9:$I$153,MATCH($Q55,B_InitialSituation!$Q$9:$Q$153,0)))</f>
      </c>
      <c r="J55" s="450">
        <f>IF(H55="","",H55*INDEX(B_InitialSituation!$J$9:$J$153,MATCH($R55,B_InitialSituation!$R$9:$R$153,0)))</f>
      </c>
      <c r="K55" s="433">
        <f t="shared" si="9"/>
      </c>
      <c r="L55" s="450">
        <f>IF(K55="","",K55*INDEX(B_InitialSituation!$I$9:$I$153,MATCH($Q55,B_InitialSituation!$Q$9:$Q$153,0)))</f>
      </c>
      <c r="M55" s="450">
        <f>IF(K55="","",K55*INDEX(B_InitialSituation!$J$9:$J$153,MATCH($R55,B_InitialSituation!$R$9:$R$153,0)))</f>
      </c>
      <c r="N55" s="434">
        <f t="shared" si="10"/>
      </c>
      <c r="O55" s="9"/>
      <c r="P55" s="9"/>
      <c r="Q55" s="412" t="str">
        <f t="shared" si="12"/>
        <v>CAPINI_2_</v>
      </c>
      <c r="R55" s="412" t="str">
        <f t="shared" si="13"/>
        <v>HAL_2_</v>
      </c>
      <c r="S55" s="412" t="str">
        <f t="shared" si="14"/>
        <v>HAL_2_7</v>
      </c>
      <c r="T55" s="412" t="str">
        <f t="shared" si="11"/>
        <v>FInitial_2_</v>
      </c>
      <c r="U55" s="412" t="str">
        <f t="shared" si="15"/>
        <v>CAPINI_</v>
      </c>
      <c r="V55" s="414">
        <f t="shared" si="16"/>
        <v>2</v>
      </c>
      <c r="W55" s="384"/>
      <c r="X55" s="384"/>
      <c r="Y55" s="384"/>
      <c r="Z55" s="409" t="b">
        <f>INDEX(B_InitialSituation!$X$9:$X$153,MATCH($T55,B_InitialSituation!$Q$9:$Q$153,0))</f>
        <v>0</v>
      </c>
      <c r="AA55" s="384"/>
    </row>
    <row r="56" spans="1:27" s="483" customFormat="1" ht="12.75" customHeight="1">
      <c r="A56" s="4"/>
      <c r="B56" s="5"/>
      <c r="C56" s="29">
        <v>8</v>
      </c>
      <c r="D56" s="931">
        <f>INDEX(B_InitialSituation!$D$9:$D$153,MATCH($S56,B_InitialSituation!$S$9:$S$153,0))</f>
      </c>
      <c r="E56" s="932"/>
      <c r="F56" s="932"/>
      <c r="G56" s="933"/>
      <c r="H56" s="432"/>
      <c r="I56" s="450">
        <f>IF(H56="","",H56*INDEX(B_InitialSituation!$I$9:$I$153,MATCH($Q56,B_InitialSituation!$Q$9:$Q$153,0)))</f>
      </c>
      <c r="J56" s="450">
        <f>IF(H56="","",H56*INDEX(B_InitialSituation!$J$9:$J$153,MATCH($R56,B_InitialSituation!$R$9:$R$153,0)))</f>
      </c>
      <c r="K56" s="433">
        <f t="shared" si="9"/>
      </c>
      <c r="L56" s="450">
        <f>IF(K56="","",K56*INDEX(B_InitialSituation!$I$9:$I$153,MATCH($Q56,B_InitialSituation!$Q$9:$Q$153,0)))</f>
      </c>
      <c r="M56" s="450">
        <f>IF(K56="","",K56*INDEX(B_InitialSituation!$J$9:$J$153,MATCH($R56,B_InitialSituation!$R$9:$R$153,0)))</f>
      </c>
      <c r="N56" s="434">
        <f t="shared" si="10"/>
      </c>
      <c r="O56" s="9"/>
      <c r="P56" s="9"/>
      <c r="Q56" s="412" t="str">
        <f t="shared" si="12"/>
        <v>CAPINI_2_</v>
      </c>
      <c r="R56" s="412" t="str">
        <f t="shared" si="13"/>
        <v>HAL_2_</v>
      </c>
      <c r="S56" s="412" t="str">
        <f t="shared" si="14"/>
        <v>HAL_2_8</v>
      </c>
      <c r="T56" s="412" t="str">
        <f t="shared" si="11"/>
        <v>FInitial_2_</v>
      </c>
      <c r="U56" s="412" t="str">
        <f t="shared" si="15"/>
        <v>CAPINI_</v>
      </c>
      <c r="V56" s="414">
        <f t="shared" si="16"/>
        <v>2</v>
      </c>
      <c r="W56" s="384"/>
      <c r="X56" s="384"/>
      <c r="Y56" s="384"/>
      <c r="Z56" s="409" t="b">
        <f>INDEX(B_InitialSituation!$X$9:$X$153,MATCH($T56,B_InitialSituation!$Q$9:$Q$153,0))</f>
        <v>0</v>
      </c>
      <c r="AA56" s="384"/>
    </row>
    <row r="57" spans="1:27" s="483" customFormat="1" ht="12.75" customHeight="1">
      <c r="A57" s="4"/>
      <c r="B57" s="5"/>
      <c r="C57" s="29">
        <v>9</v>
      </c>
      <c r="D57" s="931">
        <f>INDEX(B_InitialSituation!$D$9:$D$153,MATCH($S57,B_InitialSituation!$S$9:$S$153,0))</f>
      </c>
      <c r="E57" s="932"/>
      <c r="F57" s="932"/>
      <c r="G57" s="933"/>
      <c r="H57" s="432"/>
      <c r="I57" s="450">
        <f>IF(H57="","",H57*INDEX(B_InitialSituation!$I$9:$I$153,MATCH($Q57,B_InitialSituation!$Q$9:$Q$153,0)))</f>
      </c>
      <c r="J57" s="450">
        <f>IF(H57="","",H57*INDEX(B_InitialSituation!$J$9:$J$153,MATCH($R57,B_InitialSituation!$R$9:$R$153,0)))</f>
      </c>
      <c r="K57" s="433">
        <f t="shared" si="9"/>
      </c>
      <c r="L57" s="450">
        <f>IF(K57="","",K57*INDEX(B_InitialSituation!$I$9:$I$153,MATCH($Q57,B_InitialSituation!$Q$9:$Q$153,0)))</f>
      </c>
      <c r="M57" s="450">
        <f>IF(K57="","",K57*INDEX(B_InitialSituation!$J$9:$J$153,MATCH($R57,B_InitialSituation!$R$9:$R$153,0)))</f>
      </c>
      <c r="N57" s="434">
        <f t="shared" si="10"/>
      </c>
      <c r="O57" s="9"/>
      <c r="P57" s="9"/>
      <c r="Q57" s="412" t="str">
        <f t="shared" si="12"/>
        <v>CAPINI_2_</v>
      </c>
      <c r="R57" s="412" t="str">
        <f t="shared" si="13"/>
        <v>HAL_2_</v>
      </c>
      <c r="S57" s="412" t="str">
        <f t="shared" si="14"/>
        <v>HAL_2_9</v>
      </c>
      <c r="T57" s="412" t="str">
        <f t="shared" si="11"/>
        <v>FInitial_2_</v>
      </c>
      <c r="U57" s="412" t="str">
        <f t="shared" si="15"/>
        <v>CAPINI_</v>
      </c>
      <c r="V57" s="414">
        <f t="shared" si="16"/>
        <v>2</v>
      </c>
      <c r="W57" s="384"/>
      <c r="X57" s="384"/>
      <c r="Y57" s="384"/>
      <c r="Z57" s="409" t="b">
        <f>INDEX(B_InitialSituation!$X$9:$X$153,MATCH($T57,B_InitialSituation!$Q$9:$Q$153,0))</f>
        <v>0</v>
      </c>
      <c r="AA57" s="384"/>
    </row>
    <row r="58" spans="1:27" s="483" customFormat="1" ht="12.75" customHeight="1">
      <c r="A58" s="4"/>
      <c r="B58" s="5"/>
      <c r="C58" s="25">
        <v>10</v>
      </c>
      <c r="D58" s="945">
        <f>INDEX(B_InitialSituation!$D$9:$D$153,MATCH($S58,B_InitialSituation!$S$9:$S$153,0))</f>
      </c>
      <c r="E58" s="946"/>
      <c r="F58" s="946"/>
      <c r="G58" s="947"/>
      <c r="H58" s="435"/>
      <c r="I58" s="451">
        <f>IF(H58="","",H58*INDEX(B_InitialSituation!$I$9:$I$153,MATCH($Q58,B_InitialSituation!$Q$9:$Q$153,0)))</f>
      </c>
      <c r="J58" s="451">
        <f>IF(H58="","",H58*INDEX(B_InitialSituation!$J$9:$J$153,MATCH($R58,B_InitialSituation!$R$9:$R$153,0)))</f>
      </c>
      <c r="K58" s="436">
        <f t="shared" si="9"/>
      </c>
      <c r="L58" s="451">
        <f>IF(K58="","",K58*INDEX(B_InitialSituation!$I$9:$I$153,MATCH($Q58,B_InitialSituation!$Q$9:$Q$153,0)))</f>
      </c>
      <c r="M58" s="451">
        <f>IF(K58="","",K58*INDEX(B_InitialSituation!$J$9:$J$153,MATCH($R58,B_InitialSituation!$R$9:$R$153,0)))</f>
      </c>
      <c r="N58" s="437">
        <f t="shared" si="10"/>
      </c>
      <c r="O58" s="9"/>
      <c r="P58" s="9"/>
      <c r="Q58" s="412" t="str">
        <f t="shared" si="12"/>
        <v>CAPINI_2_</v>
      </c>
      <c r="R58" s="412" t="str">
        <f t="shared" si="13"/>
        <v>HAL_2_</v>
      </c>
      <c r="S58" s="412" t="str">
        <f t="shared" si="14"/>
        <v>HAL_2_10</v>
      </c>
      <c r="T58" s="412" t="str">
        <f t="shared" si="11"/>
        <v>FInitial_2_</v>
      </c>
      <c r="U58" s="412" t="str">
        <f t="shared" si="15"/>
        <v>CAPINI_</v>
      </c>
      <c r="V58" s="414">
        <f t="shared" si="16"/>
        <v>2</v>
      </c>
      <c r="W58" s="384"/>
      <c r="X58" s="384"/>
      <c r="Y58" s="384"/>
      <c r="Z58" s="409" t="b">
        <f>INDEX(B_InitialSituation!$X$9:$X$153,MATCH($T58,B_InitialSituation!$Q$9:$Q$153,0))</f>
        <v>0</v>
      </c>
      <c r="AA58" s="384"/>
    </row>
    <row r="59" spans="1:27" s="483" customFormat="1" ht="24.75" customHeight="1">
      <c r="A59" s="4"/>
      <c r="B59" s="5"/>
      <c r="C59" s="29">
        <v>11</v>
      </c>
      <c r="D59" s="942" t="str">
        <f aca="true" t="shared" si="17" ref="D59:D64">INDEX(EUconst_FallBackListNames,C59-10)</f>
        <v>Подинсталация с топлинен показател, с риск от изтичане на въглерод</v>
      </c>
      <c r="E59" s="943"/>
      <c r="F59" s="943"/>
      <c r="G59" s="944"/>
      <c r="H59" s="429"/>
      <c r="I59" s="452">
        <f>IF(H59="","",H59*INDEX(B_InitialSituation!$I$9:$I$153,MATCH($Q59,B_InitialSituation!$Q$9:$Q$153,0)))</f>
      </c>
      <c r="J59" s="452">
        <f>IF(H59="","",H59*INDEX(B_InitialSituation!$J$9:$J$153,MATCH($R59,B_InitialSituation!$R$9:$R$153,0)))</f>
      </c>
      <c r="K59" s="430">
        <f t="shared" si="9"/>
      </c>
      <c r="L59" s="452">
        <f>IF(K59="","",K59*INDEX(B_InitialSituation!$I$9:$I$153,MATCH($Q59,B_InitialSituation!$Q$9:$Q$153,0)))</f>
      </c>
      <c r="M59" s="452">
        <f>IF(K59="","",K59*INDEX(B_InitialSituation!$J$9:$J$153,MATCH($R59,B_InitialSituation!$R$9:$R$153,0)))</f>
      </c>
      <c r="N59" s="431">
        <f t="shared" si="10"/>
      </c>
      <c r="O59" s="9"/>
      <c r="P59" s="9"/>
      <c r="Q59" s="412" t="str">
        <f t="shared" si="12"/>
        <v>CAPINI_2_Подинсталация с топлинен показател, с риск от изтичане на въглерод</v>
      </c>
      <c r="R59" s="412" t="str">
        <f t="shared" si="13"/>
        <v>HAL_2_Подинсталация с топлинен показател, с риск от изтичане на въглерод</v>
      </c>
      <c r="S59" s="412" t="str">
        <f t="shared" si="14"/>
        <v>HAL_2_11</v>
      </c>
      <c r="T59" s="412" t="str">
        <f t="shared" si="11"/>
        <v>FInitial_2_Подинсталация с топлинен показател, с риск от изтичане на въглерод</v>
      </c>
      <c r="U59" s="412" t="str">
        <f t="shared" si="15"/>
        <v>CAPINI_Подинсталация с топлинен показател, с риск от изтичане на въглерод</v>
      </c>
      <c r="V59" s="414">
        <f t="shared" si="16"/>
        <v>2</v>
      </c>
      <c r="W59" s="384"/>
      <c r="X59" s="384"/>
      <c r="Y59" s="384"/>
      <c r="Z59" s="409" t="b">
        <f>INDEX(B_InitialSituation!$X$9:$X$153,MATCH($T59,B_InitialSituation!$Q$9:$Q$153,0))</f>
        <v>0</v>
      </c>
      <c r="AA59" s="384"/>
    </row>
    <row r="60" spans="1:27" s="483" customFormat="1" ht="24.75" customHeight="1">
      <c r="A60" s="4"/>
      <c r="B60" s="5"/>
      <c r="C60" s="29">
        <v>12</v>
      </c>
      <c r="D60" s="936" t="str">
        <f t="shared" si="17"/>
        <v>Подинсталация с топлинен показател, без риск от изтичане на въглерод</v>
      </c>
      <c r="E60" s="937"/>
      <c r="F60" s="937"/>
      <c r="G60" s="938"/>
      <c r="H60" s="432"/>
      <c r="I60" s="450">
        <f>IF(H60="","",H60*INDEX(B_InitialSituation!$I$9:$I$153,MATCH($Q60,B_InitialSituation!$Q$9:$Q$153,0)))</f>
      </c>
      <c r="J60" s="450">
        <f>IF(H60="","",H60*INDEX(B_InitialSituation!$J$9:$J$153,MATCH($R60,B_InitialSituation!$R$9:$R$153,0)))</f>
      </c>
      <c r="K60" s="433">
        <f t="shared" si="9"/>
      </c>
      <c r="L60" s="450">
        <f>IF(K60="","",K60*INDEX(B_InitialSituation!$I$9:$I$153,MATCH($Q60,B_InitialSituation!$Q$9:$Q$153,0)))</f>
      </c>
      <c r="M60" s="450">
        <f>IF(K60="","",K60*INDEX(B_InitialSituation!$J$9:$J$153,MATCH($R60,B_InitialSituation!$R$9:$R$153,0)))</f>
      </c>
      <c r="N60" s="434">
        <f t="shared" si="10"/>
      </c>
      <c r="O60" s="9"/>
      <c r="P60" s="9"/>
      <c r="Q60" s="412" t="str">
        <f t="shared" si="12"/>
        <v>CAPINI_2_Подинсталация с топлинен показател, без риск от изтичане на въглерод</v>
      </c>
      <c r="R60" s="412" t="str">
        <f t="shared" si="13"/>
        <v>HAL_2_Подинсталация с топлинен показател, без риск от изтичане на въглерод</v>
      </c>
      <c r="S60" s="412" t="str">
        <f t="shared" si="14"/>
        <v>HAL_2_12</v>
      </c>
      <c r="T60" s="412" t="str">
        <f t="shared" si="11"/>
        <v>FInitial_2_Подинсталация с топлинен показател, без риск от изтичане на въглерод</v>
      </c>
      <c r="U60" s="412" t="str">
        <f t="shared" si="15"/>
        <v>CAPINI_Подинсталация с топлинен показател, без риск от изтичане на въглерод</v>
      </c>
      <c r="V60" s="414">
        <f t="shared" si="16"/>
        <v>2</v>
      </c>
      <c r="W60" s="384"/>
      <c r="X60" s="384"/>
      <c r="Y60" s="384"/>
      <c r="Z60" s="409" t="b">
        <f>INDEX(B_InitialSituation!$X$9:$X$153,MATCH($T60,B_InitialSituation!$Q$9:$Q$153,0))</f>
        <v>0</v>
      </c>
      <c r="AA60" s="384"/>
    </row>
    <row r="61" spans="1:27" s="483" customFormat="1" ht="24.75" customHeight="1">
      <c r="A61" s="4"/>
      <c r="B61" s="5"/>
      <c r="C61" s="29">
        <v>13</v>
      </c>
      <c r="D61" s="936" t="str">
        <f t="shared" si="17"/>
        <v>Подинсталация с горивен показател, с риск от изтичане на въглерод</v>
      </c>
      <c r="E61" s="937"/>
      <c r="F61" s="937"/>
      <c r="G61" s="938"/>
      <c r="H61" s="432"/>
      <c r="I61" s="450">
        <f>IF(H61="","",H61*INDEX(B_InitialSituation!$I$9:$I$153,MATCH($Q61,B_InitialSituation!$Q$9:$Q$153,0)))</f>
      </c>
      <c r="J61" s="450">
        <f>IF(H61="","",H61*INDEX(B_InitialSituation!$J$9:$J$153,MATCH($R61,B_InitialSituation!$R$9:$R$153,0)))</f>
      </c>
      <c r="K61" s="433">
        <f t="shared" si="9"/>
      </c>
      <c r="L61" s="450">
        <f>IF(K61="","",K61*INDEX(B_InitialSituation!$I$9:$I$153,MATCH($Q61,B_InitialSituation!$Q$9:$Q$153,0)))</f>
      </c>
      <c r="M61" s="450">
        <f>IF(K61="","",K61*INDEX(B_InitialSituation!$J$9:$J$153,MATCH($R61,B_InitialSituation!$R$9:$R$153,0)))</f>
      </c>
      <c r="N61" s="434">
        <f t="shared" si="10"/>
      </c>
      <c r="O61" s="9"/>
      <c r="P61" s="9"/>
      <c r="Q61" s="412" t="str">
        <f t="shared" si="12"/>
        <v>CAPINI_2_Подинсталация с горивен показател, с риск от изтичане на въглерод</v>
      </c>
      <c r="R61" s="412" t="str">
        <f t="shared" si="13"/>
        <v>HAL_2_Подинсталация с горивен показател, с риск от изтичане на въглерод</v>
      </c>
      <c r="S61" s="412" t="str">
        <f t="shared" si="14"/>
        <v>HAL_2_13</v>
      </c>
      <c r="T61" s="412" t="str">
        <f t="shared" si="11"/>
        <v>FInitial_2_Подинсталация с горивен показател, с риск от изтичане на въглерод</v>
      </c>
      <c r="U61" s="412" t="str">
        <f t="shared" si="15"/>
        <v>CAPINI_Подинсталация с горивен показател, с риск от изтичане на въглерод</v>
      </c>
      <c r="V61" s="414">
        <f t="shared" si="16"/>
        <v>2</v>
      </c>
      <c r="W61" s="384"/>
      <c r="X61" s="384"/>
      <c r="Y61" s="384"/>
      <c r="Z61" s="409" t="b">
        <f>INDEX(B_InitialSituation!$X$9:$X$153,MATCH($T61,B_InitialSituation!$Q$9:$Q$153,0))</f>
        <v>0</v>
      </c>
      <c r="AA61" s="384"/>
    </row>
    <row r="62" spans="1:27" s="483" customFormat="1" ht="24.75" customHeight="1">
      <c r="A62" s="4"/>
      <c r="B62" s="5"/>
      <c r="C62" s="29">
        <v>14</v>
      </c>
      <c r="D62" s="936" t="str">
        <f t="shared" si="17"/>
        <v>Подинсталация с горивен показател, без риск от изтичане на въглерод</v>
      </c>
      <c r="E62" s="937"/>
      <c r="F62" s="937"/>
      <c r="G62" s="938"/>
      <c r="H62" s="432"/>
      <c r="I62" s="450">
        <f>IF(H62="","",H62*INDEX(B_InitialSituation!$I$9:$I$153,MATCH($Q62,B_InitialSituation!$Q$9:$Q$153,0)))</f>
      </c>
      <c r="J62" s="450">
        <f>IF(H62="","",H62*INDEX(B_InitialSituation!$J$9:$J$153,MATCH($R62,B_InitialSituation!$R$9:$R$153,0)))</f>
      </c>
      <c r="K62" s="433">
        <f t="shared" si="9"/>
      </c>
      <c r="L62" s="450">
        <f>IF(K62="","",K62*INDEX(B_InitialSituation!$I$9:$I$153,MATCH($Q62,B_InitialSituation!$Q$9:$Q$153,0)))</f>
      </c>
      <c r="M62" s="450">
        <f>IF(K62="","",K62*INDEX(B_InitialSituation!$J$9:$J$153,MATCH($R62,B_InitialSituation!$R$9:$R$153,0)))</f>
      </c>
      <c r="N62" s="434">
        <f t="shared" si="10"/>
      </c>
      <c r="O62" s="9"/>
      <c r="P62" s="9"/>
      <c r="Q62" s="412" t="str">
        <f t="shared" si="12"/>
        <v>CAPINI_2_Подинсталация с горивен показател, без риск от изтичане на въглерод</v>
      </c>
      <c r="R62" s="412" t="str">
        <f t="shared" si="13"/>
        <v>HAL_2_Подинсталация с горивен показател, без риск от изтичане на въглерод</v>
      </c>
      <c r="S62" s="412" t="str">
        <f t="shared" si="14"/>
        <v>HAL_2_14</v>
      </c>
      <c r="T62" s="412" t="str">
        <f t="shared" si="11"/>
        <v>FInitial_2_Подинсталация с горивен показател, без риск от изтичане на въглерод</v>
      </c>
      <c r="U62" s="412" t="str">
        <f t="shared" si="15"/>
        <v>CAPINI_Подинсталация с горивен показател, без риск от изтичане на въглерод</v>
      </c>
      <c r="V62" s="414">
        <f t="shared" si="16"/>
        <v>2</v>
      </c>
      <c r="W62" s="384"/>
      <c r="X62" s="384"/>
      <c r="Y62" s="384"/>
      <c r="Z62" s="409" t="b">
        <f>INDEX(B_InitialSituation!$X$9:$X$153,MATCH($T62,B_InitialSituation!$Q$9:$Q$153,0))</f>
        <v>0</v>
      </c>
      <c r="AA62" s="384"/>
    </row>
    <row r="63" spans="1:27" s="483" customFormat="1" ht="24.75" customHeight="1">
      <c r="A63" s="4"/>
      <c r="B63" s="5"/>
      <c r="C63" s="29">
        <v>15</v>
      </c>
      <c r="D63" s="936" t="str">
        <f t="shared" si="17"/>
        <v>Подинсталация с технологични емисии, с риск от изтичане на въглерод</v>
      </c>
      <c r="E63" s="937"/>
      <c r="F63" s="937"/>
      <c r="G63" s="938"/>
      <c r="H63" s="432"/>
      <c r="I63" s="450">
        <f>IF(H63="","",H63*INDEX(B_InitialSituation!$I$9:$I$153,MATCH($Q63,B_InitialSituation!$Q$9:$Q$153,0)))</f>
      </c>
      <c r="J63" s="450">
        <f>IF(H63="","",H63*INDEX(B_InitialSituation!$J$9:$J$153,MATCH($R63,B_InitialSituation!$R$9:$R$153,0)))</f>
      </c>
      <c r="K63" s="433">
        <f t="shared" si="9"/>
      </c>
      <c r="L63" s="450">
        <f>IF(K63="","",K63*INDEX(B_InitialSituation!$I$9:$I$153,MATCH($Q63,B_InitialSituation!$Q$9:$Q$153,0)))</f>
      </c>
      <c r="M63" s="450">
        <f>IF(K63="","",K63*INDEX(B_InitialSituation!$J$9:$J$153,MATCH($R63,B_InitialSituation!$R$9:$R$153,0)))</f>
      </c>
      <c r="N63" s="434">
        <f t="shared" si="10"/>
      </c>
      <c r="O63" s="9"/>
      <c r="P63" s="9"/>
      <c r="Q63" s="412" t="str">
        <f t="shared" si="12"/>
        <v>CAPINI_2_Подинсталация с технологични емисии, с риск от изтичане на въглерод</v>
      </c>
      <c r="R63" s="412" t="str">
        <f t="shared" si="13"/>
        <v>HAL_2_Подинсталация с технологични емисии, с риск от изтичане на въглерод</v>
      </c>
      <c r="S63" s="412" t="str">
        <f t="shared" si="14"/>
        <v>HAL_2_15</v>
      </c>
      <c r="T63" s="412" t="str">
        <f t="shared" si="11"/>
        <v>FInitial_2_Подинсталация с технологични емисии, с риск от изтичане на въглерод</v>
      </c>
      <c r="U63" s="412" t="str">
        <f t="shared" si="15"/>
        <v>CAPINI_Подинсталация с технологични емисии, с риск от изтичане на въглерод</v>
      </c>
      <c r="V63" s="414">
        <f t="shared" si="16"/>
        <v>2</v>
      </c>
      <c r="W63" s="384"/>
      <c r="X63" s="384"/>
      <c r="Y63" s="384"/>
      <c r="Z63" s="409" t="b">
        <f>INDEX(B_InitialSituation!$X$9:$X$153,MATCH($T63,B_InitialSituation!$Q$9:$Q$153,0))</f>
        <v>0</v>
      </c>
      <c r="AA63" s="384"/>
    </row>
    <row r="64" spans="1:27" s="483" customFormat="1" ht="24.75" customHeight="1">
      <c r="A64" s="4"/>
      <c r="B64" s="5"/>
      <c r="C64" s="25">
        <v>16</v>
      </c>
      <c r="D64" s="936" t="str">
        <f t="shared" si="17"/>
        <v>Подинсталация с технологични емисии, без риск от изтичане на въглерод</v>
      </c>
      <c r="E64" s="937"/>
      <c r="F64" s="937"/>
      <c r="G64" s="938"/>
      <c r="H64" s="438"/>
      <c r="I64" s="453">
        <f>IF(H64="","",H64*INDEX(B_InitialSituation!$I$9:$I$153,MATCH($Q64,B_InitialSituation!$Q$9:$Q$153,0)))</f>
      </c>
      <c r="J64" s="453">
        <f>IF(H64="","",H64*INDEX(B_InitialSituation!$J$9:$J$153,MATCH($R64,B_InitialSituation!$R$9:$R$153,0)))</f>
      </c>
      <c r="K64" s="439">
        <f t="shared" si="9"/>
      </c>
      <c r="L64" s="453">
        <f>IF(K64="","",K64*INDEX(B_InitialSituation!$I$9:$I$153,MATCH($Q64,B_InitialSituation!$Q$9:$Q$153,0)))</f>
      </c>
      <c r="M64" s="453">
        <f>IF(K64="","",K64*INDEX(B_InitialSituation!$J$9:$J$153,MATCH($R64,B_InitialSituation!$R$9:$R$153,0)))</f>
      </c>
      <c r="N64" s="440">
        <f t="shared" si="10"/>
      </c>
      <c r="O64" s="9"/>
      <c r="P64" s="9"/>
      <c r="Q64" s="412" t="str">
        <f t="shared" si="12"/>
        <v>CAPINI_2_Подинсталация с технологични емисии, без риск от изтичане на въглерод</v>
      </c>
      <c r="R64" s="412" t="str">
        <f t="shared" si="13"/>
        <v>HAL_2_Подинсталация с технологични емисии, без риск от изтичане на въглерод</v>
      </c>
      <c r="S64" s="412" t="str">
        <f t="shared" si="14"/>
        <v>HAL_2_16</v>
      </c>
      <c r="T64" s="412" t="str">
        <f t="shared" si="11"/>
        <v>FInitial_2_Подинсталация с технологични емисии, без риск от изтичане на въглерод</v>
      </c>
      <c r="U64" s="412" t="str">
        <f t="shared" si="15"/>
        <v>CAPINI_Подинсталация с технологични емисии, без риск от изтичане на въглерод</v>
      </c>
      <c r="V64" s="414">
        <f t="shared" si="16"/>
        <v>2</v>
      </c>
      <c r="W64" s="384"/>
      <c r="X64" s="384"/>
      <c r="Y64" s="384"/>
      <c r="Z64" s="409" t="b">
        <f>INDEX(B_InitialSituation!$X$9:$X$153,MATCH($T64,B_InitialSituation!$Q$9:$Q$153,0))</f>
        <v>0</v>
      </c>
      <c r="AA64" s="384"/>
    </row>
    <row r="65" spans="1:27" s="483" customFormat="1" ht="12.75" customHeight="1" thickBot="1">
      <c r="A65" s="4"/>
      <c r="B65" s="5"/>
      <c r="C65" s="374">
        <v>17</v>
      </c>
      <c r="D65" s="939" t="str">
        <f>EUconst_PrivateHouseholds</f>
        <v>За частни жилища</v>
      </c>
      <c r="E65" s="940"/>
      <c r="F65" s="940"/>
      <c r="G65" s="941"/>
      <c r="H65" s="422"/>
      <c r="I65" s="441"/>
      <c r="J65" s="441"/>
      <c r="K65" s="425">
        <f t="shared" si="9"/>
      </c>
      <c r="L65" s="441"/>
      <c r="M65" s="441"/>
      <c r="N65" s="428">
        <f t="shared" si="10"/>
      </c>
      <c r="O65" s="9"/>
      <c r="P65" s="9"/>
      <c r="Q65" s="402"/>
      <c r="R65" s="402"/>
      <c r="S65" s="384"/>
      <c r="T65" s="412" t="str">
        <f t="shared" si="11"/>
        <v>FInitial_2_За частни жилища</v>
      </c>
      <c r="U65" s="384"/>
      <c r="V65" s="415">
        <f t="shared" si="16"/>
        <v>2</v>
      </c>
      <c r="W65" s="384"/>
      <c r="X65" s="384"/>
      <c r="Y65" s="384"/>
      <c r="Z65" s="409" t="b">
        <f>INDEX(B_InitialSituation!$X$9:$X$153,MATCH($T65,B_InitialSituation!$Q$9:$Q$153,0))</f>
        <v>0</v>
      </c>
      <c r="AA65" s="384"/>
    </row>
    <row r="66" spans="1:27" s="483" customFormat="1" ht="38.25" customHeight="1">
      <c r="A66" s="4"/>
      <c r="B66" s="5"/>
      <c r="C66" s="7"/>
      <c r="D66" s="5"/>
      <c r="E66" s="5"/>
      <c r="F66" s="5"/>
      <c r="G66" s="5"/>
      <c r="H66" s="5"/>
      <c r="I66" s="5"/>
      <c r="J66" s="5"/>
      <c r="K66" s="5"/>
      <c r="L66" s="5"/>
      <c r="M66" s="9"/>
      <c r="N66" s="9"/>
      <c r="O66" s="280"/>
      <c r="P66" s="9"/>
      <c r="Q66" s="402"/>
      <c r="R66" s="384"/>
      <c r="S66" s="384"/>
      <c r="T66" s="384"/>
      <c r="U66" s="384"/>
      <c r="V66" s="384"/>
      <c r="W66" s="384"/>
      <c r="X66" s="384"/>
      <c r="Y66" s="384"/>
      <c r="Z66" s="384"/>
      <c r="AA66" s="384"/>
    </row>
    <row r="67" spans="1:27" s="483" customFormat="1" ht="12.75">
      <c r="A67" s="4"/>
      <c r="B67" s="18"/>
      <c r="C67" s="18"/>
      <c r="D67" s="725" t="str">
        <f>HYPERLINK(R67,Translations!$B$335)</f>
        <v>&lt;&lt;&lt;Щракнете тук за да продължите към следващия работен лист (sheet)&gt;&gt;&gt;</v>
      </c>
      <c r="E67" s="726"/>
      <c r="F67" s="726"/>
      <c r="G67" s="726"/>
      <c r="H67" s="726"/>
      <c r="I67" s="726"/>
      <c r="J67" s="726"/>
      <c r="K67" s="726"/>
      <c r="L67" s="726"/>
      <c r="M67" s="726"/>
      <c r="N67" s="726"/>
      <c r="O67" s="18"/>
      <c r="P67" s="18"/>
      <c r="Q67" s="299"/>
      <c r="R67" s="412" t="str">
        <f>$W$2</f>
        <v>#D_Summary!$C$6</v>
      </c>
      <c r="S67" s="299"/>
      <c r="T67" s="299"/>
      <c r="U67" s="299"/>
      <c r="V67" s="299"/>
      <c r="W67" s="299"/>
      <c r="X67" s="299"/>
      <c r="Y67" s="299"/>
      <c r="Z67" s="299"/>
      <c r="AA67" s="384"/>
    </row>
    <row r="68" spans="1:27" s="483" customFormat="1" ht="12.75" customHeight="1">
      <c r="A68" s="4"/>
      <c r="B68" s="5"/>
      <c r="C68" s="7"/>
      <c r="D68" s="5"/>
      <c r="E68" s="5"/>
      <c r="F68" s="5"/>
      <c r="G68" s="5"/>
      <c r="H68" s="5"/>
      <c r="I68" s="5"/>
      <c r="J68" s="5"/>
      <c r="K68" s="5"/>
      <c r="L68" s="5"/>
      <c r="M68" s="9"/>
      <c r="N68" s="9"/>
      <c r="O68" s="280"/>
      <c r="P68" s="9"/>
      <c r="Q68" s="418" t="s">
        <v>166</v>
      </c>
      <c r="R68" s="418" t="s">
        <v>166</v>
      </c>
      <c r="S68" s="418" t="s">
        <v>166</v>
      </c>
      <c r="T68" s="418" t="s">
        <v>166</v>
      </c>
      <c r="U68" s="418" t="s">
        <v>166</v>
      </c>
      <c r="V68" s="418" t="s">
        <v>166</v>
      </c>
      <c r="W68" s="418" t="s">
        <v>166</v>
      </c>
      <c r="X68" s="418" t="s">
        <v>166</v>
      </c>
      <c r="Y68" s="418" t="s">
        <v>166</v>
      </c>
      <c r="Z68" s="418" t="s">
        <v>166</v>
      </c>
      <c r="AA68" s="384"/>
    </row>
    <row r="69" spans="1:27" s="483" customFormat="1" ht="12.75" customHeight="1">
      <c r="A69" s="4"/>
      <c r="B69" s="5"/>
      <c r="C69" s="7"/>
      <c r="D69" s="5"/>
      <c r="E69" s="5"/>
      <c r="F69" s="5"/>
      <c r="G69" s="5"/>
      <c r="H69" s="5"/>
      <c r="I69" s="5"/>
      <c r="J69" s="5"/>
      <c r="K69" s="5"/>
      <c r="L69" s="5"/>
      <c r="M69" s="9"/>
      <c r="N69" s="9"/>
      <c r="O69" s="280"/>
      <c r="P69" s="9"/>
      <c r="Q69" s="402"/>
      <c r="R69" s="416"/>
      <c r="S69" s="384"/>
      <c r="T69" s="384"/>
      <c r="U69" s="384"/>
      <c r="V69" s="384"/>
      <c r="W69" s="384"/>
      <c r="X69" s="384"/>
      <c r="Y69" s="384"/>
      <c r="Z69" s="384"/>
      <c r="AA69" s="384"/>
    </row>
    <row r="70" spans="1:27" s="483" customFormat="1" ht="12.75" customHeight="1">
      <c r="A70" s="4"/>
      <c r="B70" s="5"/>
      <c r="C70" s="7"/>
      <c r="D70" s="5"/>
      <c r="E70" s="5"/>
      <c r="F70" s="5"/>
      <c r="G70" s="5"/>
      <c r="H70" s="5"/>
      <c r="I70" s="5"/>
      <c r="J70" s="5"/>
      <c r="K70" s="5"/>
      <c r="L70" s="5"/>
      <c r="M70" s="9"/>
      <c r="N70" s="9"/>
      <c r="O70" s="280"/>
      <c r="P70" s="9"/>
      <c r="Q70" s="402"/>
      <c r="R70" s="384"/>
      <c r="S70" s="384"/>
      <c r="T70" s="384"/>
      <c r="U70" s="384"/>
      <c r="V70" s="384"/>
      <c r="W70" s="384"/>
      <c r="X70" s="384"/>
      <c r="Y70" s="384"/>
      <c r="Z70" s="384"/>
      <c r="AA70" s="384"/>
    </row>
    <row r="71" spans="1:27" s="483" customFormat="1" ht="12.75" customHeight="1">
      <c r="A71" s="4"/>
      <c r="B71" s="5"/>
      <c r="C71" s="7"/>
      <c r="D71" s="5"/>
      <c r="E71" s="5"/>
      <c r="F71" s="5"/>
      <c r="G71" s="5"/>
      <c r="H71" s="5"/>
      <c r="I71" s="5"/>
      <c r="J71" s="5"/>
      <c r="K71" s="5"/>
      <c r="L71" s="5"/>
      <c r="M71" s="9"/>
      <c r="N71" s="9"/>
      <c r="O71" s="280"/>
      <c r="P71" s="9"/>
      <c r="Q71" s="402"/>
      <c r="R71" s="384"/>
      <c r="S71" s="384"/>
      <c r="T71" s="384"/>
      <c r="U71" s="384"/>
      <c r="V71" s="384"/>
      <c r="W71" s="384"/>
      <c r="X71" s="384"/>
      <c r="Y71" s="384"/>
      <c r="Z71" s="384"/>
      <c r="AA71" s="384"/>
    </row>
    <row r="72" spans="1:27" s="483" customFormat="1" ht="12.75" customHeight="1">
      <c r="A72" s="4"/>
      <c r="B72" s="5"/>
      <c r="C72" s="7"/>
      <c r="D72" s="5"/>
      <c r="E72" s="5"/>
      <c r="F72" s="5"/>
      <c r="G72" s="5"/>
      <c r="H72" s="5"/>
      <c r="I72" s="5"/>
      <c r="J72" s="5"/>
      <c r="K72" s="5"/>
      <c r="L72" s="5"/>
      <c r="M72" s="9"/>
      <c r="N72" s="9"/>
      <c r="O72" s="280"/>
      <c r="P72" s="9"/>
      <c r="Q72" s="402"/>
      <c r="R72" s="384"/>
      <c r="S72" s="384"/>
      <c r="T72" s="384"/>
      <c r="U72" s="384"/>
      <c r="V72" s="384"/>
      <c r="W72" s="384"/>
      <c r="X72" s="384"/>
      <c r="Y72" s="384"/>
      <c r="Z72" s="384"/>
      <c r="AA72" s="384"/>
    </row>
    <row r="73" spans="1:27" s="483" customFormat="1" ht="12.75" customHeight="1">
      <c r="A73" s="4"/>
      <c r="B73" s="484"/>
      <c r="C73" s="482"/>
      <c r="D73" s="484"/>
      <c r="E73" s="484"/>
      <c r="F73" s="484"/>
      <c r="G73" s="484"/>
      <c r="H73" s="484"/>
      <c r="I73" s="484"/>
      <c r="J73" s="484"/>
      <c r="K73" s="484"/>
      <c r="L73" s="484"/>
      <c r="M73" s="480"/>
      <c r="N73" s="480"/>
      <c r="O73" s="488"/>
      <c r="P73" s="480"/>
      <c r="Q73" s="402"/>
      <c r="R73" s="384"/>
      <c r="S73" s="384"/>
      <c r="T73" s="384"/>
      <c r="U73" s="384"/>
      <c r="V73" s="384"/>
      <c r="W73" s="384"/>
      <c r="X73" s="384"/>
      <c r="Y73" s="384"/>
      <c r="Z73" s="384"/>
      <c r="AA73" s="384"/>
    </row>
  </sheetData>
  <sheetProtection sheet="1" objects="1" scenarios="1" formatCells="0" formatColumns="0" formatRows="0"/>
  <mergeCells count="77">
    <mergeCell ref="D60:G60"/>
    <mergeCell ref="D39:N39"/>
    <mergeCell ref="D61:G61"/>
    <mergeCell ref="D62:G62"/>
    <mergeCell ref="D63:G63"/>
    <mergeCell ref="D54:G54"/>
    <mergeCell ref="H43:J43"/>
    <mergeCell ref="H46:J46"/>
    <mergeCell ref="K46:M46"/>
    <mergeCell ref="D53:G53"/>
    <mergeCell ref="D26:G26"/>
    <mergeCell ref="D27:G27"/>
    <mergeCell ref="D32:G32"/>
    <mergeCell ref="D33:G33"/>
    <mergeCell ref="D34:G34"/>
    <mergeCell ref="D40:M40"/>
    <mergeCell ref="D67:N67"/>
    <mergeCell ref="D11:M11"/>
    <mergeCell ref="D64:G64"/>
    <mergeCell ref="D65:G65"/>
    <mergeCell ref="D59:G59"/>
    <mergeCell ref="D55:G55"/>
    <mergeCell ref="D56:G56"/>
    <mergeCell ref="D58:G58"/>
    <mergeCell ref="D29:G29"/>
    <mergeCell ref="D30:G30"/>
    <mergeCell ref="D57:G57"/>
    <mergeCell ref="D52:G52"/>
    <mergeCell ref="D24:G24"/>
    <mergeCell ref="D25:G25"/>
    <mergeCell ref="D28:G28"/>
    <mergeCell ref="H17:J17"/>
    <mergeCell ref="D35:G35"/>
    <mergeCell ref="D36:G36"/>
    <mergeCell ref="D47:F47"/>
    <mergeCell ref="D31:G31"/>
    <mergeCell ref="K17:M17"/>
    <mergeCell ref="D48:G48"/>
    <mergeCell ref="D49:G49"/>
    <mergeCell ref="D50:G50"/>
    <mergeCell ref="D51:G51"/>
    <mergeCell ref="D10:N10"/>
    <mergeCell ref="D20:G20"/>
    <mergeCell ref="D21:G21"/>
    <mergeCell ref="D22:G22"/>
    <mergeCell ref="D23:G23"/>
    <mergeCell ref="H14:J14"/>
    <mergeCell ref="D18:F18"/>
    <mergeCell ref="D19:G19"/>
    <mergeCell ref="E4:F4"/>
    <mergeCell ref="G4:H4"/>
    <mergeCell ref="I4:J4"/>
    <mergeCell ref="K4:L4"/>
    <mergeCell ref="M4:N4"/>
    <mergeCell ref="D6:N6"/>
    <mergeCell ref="B2:D4"/>
    <mergeCell ref="G2:H2"/>
    <mergeCell ref="I2:J2"/>
    <mergeCell ref="K2:L2"/>
    <mergeCell ref="W3:X3"/>
    <mergeCell ref="Y3:Z3"/>
    <mergeCell ref="M2:N2"/>
    <mergeCell ref="E3:F3"/>
    <mergeCell ref="G3:H3"/>
    <mergeCell ref="I3:J3"/>
    <mergeCell ref="K3:L3"/>
    <mergeCell ref="M3:N3"/>
    <mergeCell ref="S4:T4"/>
    <mergeCell ref="U4:V4"/>
    <mergeCell ref="W4:X4"/>
    <mergeCell ref="Y4:Z4"/>
    <mergeCell ref="S2:T2"/>
    <mergeCell ref="U2:V2"/>
    <mergeCell ref="W2:X2"/>
    <mergeCell ref="Y2:Z2"/>
    <mergeCell ref="S3:T3"/>
    <mergeCell ref="U3:V3"/>
  </mergeCells>
  <conditionalFormatting sqref="H19:H36 H48:H65">
    <cfRule type="expression" priority="1" dxfId="4" stopIfTrue="1">
      <formula>$Z19=FALSE</formula>
    </cfRule>
  </conditionalFormatting>
  <hyperlinks>
    <hyperlink ref="G2:H2" location="JUMP_Coverpage_Top" display="JUMP_Coverpage_Top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858"/>
  <sheetViews>
    <sheetView zoomScalePageLayoutView="0" workbookViewId="0" topLeftCell="B1">
      <pane ySplit="4" topLeftCell="A92" activePane="bottomLeft" state="frozen"/>
      <selection pane="topLeft" activeCell="F43" sqref="F43"/>
      <selection pane="bottomLeft" activeCell="D68" sqref="D68:N68"/>
    </sheetView>
  </sheetViews>
  <sheetFormatPr defaultColWidth="11.421875" defaultRowHeight="12.75"/>
  <cols>
    <col min="1" max="1" width="4.7109375" style="543" hidden="1" customWidth="1"/>
    <col min="2" max="2" width="2.7109375" style="543" customWidth="1"/>
    <col min="3" max="4" width="4.7109375" style="543" customWidth="1"/>
    <col min="5" max="5" width="16.00390625" style="543" customWidth="1"/>
    <col min="6" max="6" width="13.8515625" style="543" customWidth="1"/>
    <col min="7" max="14" width="12.7109375" style="543" customWidth="1"/>
    <col min="15" max="15" width="4.7109375" style="543" customWidth="1"/>
    <col min="16" max="16" width="18.421875" style="543" hidden="1" customWidth="1"/>
    <col min="17" max="43" width="11.421875" style="474" hidden="1" customWidth="1"/>
    <col min="44" max="16384" width="11.421875" style="543" customWidth="1"/>
  </cols>
  <sheetData>
    <row r="1" spans="1:43" s="4" customFormat="1" ht="13.5" hidden="1" thickBot="1">
      <c r="A1" s="4" t="s">
        <v>474</v>
      </c>
      <c r="P1" s="284" t="s">
        <v>474</v>
      </c>
      <c r="Q1" s="384" t="s">
        <v>474</v>
      </c>
      <c r="R1" s="384" t="s">
        <v>474</v>
      </c>
      <c r="S1" s="401" t="s">
        <v>474</v>
      </c>
      <c r="T1" s="384" t="s">
        <v>474</v>
      </c>
      <c r="U1" s="384" t="s">
        <v>474</v>
      </c>
      <c r="V1" s="384" t="s">
        <v>474</v>
      </c>
      <c r="W1" s="384" t="s">
        <v>474</v>
      </c>
      <c r="X1" s="384" t="s">
        <v>474</v>
      </c>
      <c r="Y1" s="384" t="s">
        <v>474</v>
      </c>
      <c r="Z1" s="384" t="s">
        <v>474</v>
      </c>
      <c r="AA1" s="384" t="s">
        <v>474</v>
      </c>
      <c r="AB1" s="384" t="s">
        <v>474</v>
      </c>
      <c r="AC1" s="384" t="s">
        <v>474</v>
      </c>
      <c r="AD1" s="384" t="s">
        <v>474</v>
      </c>
      <c r="AE1" s="384" t="s">
        <v>474</v>
      </c>
      <c r="AF1" s="384" t="s">
        <v>474</v>
      </c>
      <c r="AG1" s="384" t="s">
        <v>474</v>
      </c>
      <c r="AH1" s="384" t="s">
        <v>474</v>
      </c>
      <c r="AI1" s="384" t="s">
        <v>474</v>
      </c>
      <c r="AJ1" s="384" t="s">
        <v>474</v>
      </c>
      <c r="AK1" s="384" t="s">
        <v>474</v>
      </c>
      <c r="AL1" s="384" t="s">
        <v>474</v>
      </c>
      <c r="AM1" s="384" t="s">
        <v>474</v>
      </c>
      <c r="AN1" s="384" t="s">
        <v>474</v>
      </c>
      <c r="AO1" s="384" t="s">
        <v>474</v>
      </c>
      <c r="AP1" s="384" t="s">
        <v>474</v>
      </c>
      <c r="AQ1" s="384" t="s">
        <v>474</v>
      </c>
    </row>
    <row r="2" spans="1:43" s="483" customFormat="1" ht="13.5" customHeight="1" thickBot="1">
      <c r="A2" s="4"/>
      <c r="B2" s="859" t="str">
        <f>Translations!$B$609</f>
        <v>D. Обобщени данни</v>
      </c>
      <c r="C2" s="860"/>
      <c r="D2" s="861"/>
      <c r="E2" s="201" t="str">
        <f>Translations!$B$276</f>
        <v>Навигационно меню:</v>
      </c>
      <c r="F2" s="199"/>
      <c r="G2" s="661" t="str">
        <f>Translations!$B$290</f>
        <v>Съдържание</v>
      </c>
      <c r="H2" s="648"/>
      <c r="I2" s="648" t="str">
        <f>HYPERLINK(U2,Translations!$B$291)</f>
        <v>Предишен работен лист (sheet)</v>
      </c>
      <c r="J2" s="648"/>
      <c r="K2" s="648"/>
      <c r="L2" s="648"/>
      <c r="M2" s="648"/>
      <c r="N2" s="655"/>
      <c r="O2" s="9"/>
      <c r="P2" s="9"/>
      <c r="Q2" s="402" t="s">
        <v>539</v>
      </c>
      <c r="R2" s="402"/>
      <c r="S2" s="650"/>
      <c r="T2" s="651"/>
      <c r="U2" s="652" t="str">
        <f>"#"&amp;ADDRESS(ROW(C6),COLUMN(C6),,,C_MergerSplitTransfer!Q3)</f>
        <v>#C_MergerSplitTransfer!$C$6</v>
      </c>
      <c r="V2" s="651"/>
      <c r="W2" s="652" t="str">
        <f>"#"&amp;ADDRESS(ROW(C6),COLUMN(C6),,,C_MergerSplitTransfer!R2)</f>
        <v>#!$C$6</v>
      </c>
      <c r="X2" s="651"/>
      <c r="Y2" s="652" t="str">
        <f>"#"&amp;ADDRESS(ROW(C6),COLUMN(C6),,,D_Summary!Q3)</f>
        <v>#D_Summary!$C$6</v>
      </c>
      <c r="Z2" s="653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</row>
    <row r="3" spans="1:43" s="483" customFormat="1" ht="13.5" thickBot="1">
      <c r="A3" s="4"/>
      <c r="B3" s="862"/>
      <c r="C3" s="863"/>
      <c r="D3" s="864"/>
      <c r="E3" s="648" t="str">
        <f>HYPERLINK(R3,Translations!$B$279)</f>
        <v>Начало на работния лист</v>
      </c>
      <c r="F3" s="696"/>
      <c r="G3" s="662" t="str">
        <f>HYPERLINK(S3,Translations!$B$544)</f>
        <v>Разглеждани инсталации</v>
      </c>
      <c r="H3" s="663"/>
      <c r="I3" s="698" t="str">
        <f>HYPERLINK(U3,D26)</f>
        <v>Данни за инсталацията</v>
      </c>
      <c r="J3" s="663"/>
      <c r="K3" s="698" t="str">
        <f>HYPERLINK(W3,D65)</f>
        <v>Ново разпределение на квотите</v>
      </c>
      <c r="L3" s="663"/>
      <c r="M3" s="698"/>
      <c r="N3" s="663"/>
      <c r="O3" s="9"/>
      <c r="P3" s="9"/>
      <c r="Q3" s="460" t="str">
        <f ca="1">IF(ISERROR(CELL("filename",Q1)),"D_Summary",MID(CELL("filename",Q1),FIND("]",CELL("filename",Q1))+1,1024))</f>
        <v>D_Summary</v>
      </c>
      <c r="R3" s="461" t="str">
        <f>"#"&amp;ADDRESS(ROW(C6),COLUMN(C6))</f>
        <v>#$C$6</v>
      </c>
      <c r="S3" s="721" t="str">
        <f>"#"&amp;ADDRESS(ROW(C8),COLUMN(C8))</f>
        <v>#$C$8</v>
      </c>
      <c r="T3" s="722"/>
      <c r="U3" s="723" t="str">
        <f>"#"&amp;ADDRESS(ROW(C26),COLUMN(C26))</f>
        <v>#$C$26</v>
      </c>
      <c r="V3" s="722"/>
      <c r="W3" s="723" t="str">
        <f>"#"&amp;ADDRESS(ROW(C65),COLUMN(C65))</f>
        <v>#$C$65</v>
      </c>
      <c r="X3" s="722"/>
      <c r="Y3" s="723"/>
      <c r="Z3" s="72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</row>
    <row r="4" spans="1:43" s="483" customFormat="1" ht="13.5" customHeight="1" thickBot="1">
      <c r="A4" s="4"/>
      <c r="B4" s="865"/>
      <c r="C4" s="866"/>
      <c r="D4" s="867"/>
      <c r="E4" s="648"/>
      <c r="F4" s="648"/>
      <c r="G4" s="704"/>
      <c r="H4" s="705"/>
      <c r="I4" s="706"/>
      <c r="J4" s="705"/>
      <c r="K4" s="706"/>
      <c r="L4" s="705"/>
      <c r="M4" s="706"/>
      <c r="N4" s="705"/>
      <c r="O4" s="9"/>
      <c r="P4" s="9"/>
      <c r="Q4" s="402"/>
      <c r="R4" s="462"/>
      <c r="S4" s="727"/>
      <c r="T4" s="728"/>
      <c r="U4" s="729"/>
      <c r="V4" s="728"/>
      <c r="W4" s="729"/>
      <c r="X4" s="728"/>
      <c r="Y4" s="729"/>
      <c r="Z4" s="730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</row>
    <row r="5" spans="1:43" s="483" customFormat="1" ht="12.75">
      <c r="A5" s="4"/>
      <c r="B5" s="5"/>
      <c r="C5" s="6"/>
      <c r="D5" s="7"/>
      <c r="E5" s="7"/>
      <c r="F5" s="8"/>
      <c r="G5" s="8"/>
      <c r="H5" s="8"/>
      <c r="I5" s="5"/>
      <c r="J5" s="5"/>
      <c r="K5" s="5"/>
      <c r="L5" s="5"/>
      <c r="M5" s="9"/>
      <c r="N5" s="9"/>
      <c r="O5" s="9"/>
      <c r="P5" s="9"/>
      <c r="Q5" s="402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</row>
    <row r="6" spans="1:43" s="483" customFormat="1" ht="23.25" customHeight="1">
      <c r="A6" s="4"/>
      <c r="B6" s="5"/>
      <c r="C6" s="11" t="s">
        <v>340</v>
      </c>
      <c r="D6" s="664" t="str">
        <f>Translations!$B$610</f>
        <v>Лист „Обобщени данни“</v>
      </c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9"/>
      <c r="P6" s="9"/>
      <c r="Q6" s="403" t="s">
        <v>322</v>
      </c>
      <c r="R6" s="403" t="s">
        <v>322</v>
      </c>
      <c r="S6" s="403" t="s">
        <v>322</v>
      </c>
      <c r="T6" s="403" t="s">
        <v>322</v>
      </c>
      <c r="U6" s="403" t="s">
        <v>322</v>
      </c>
      <c r="V6" s="403" t="s">
        <v>322</v>
      </c>
      <c r="W6" s="403" t="s">
        <v>322</v>
      </c>
      <c r="X6" s="403" t="s">
        <v>322</v>
      </c>
      <c r="Y6" s="403" t="s">
        <v>322</v>
      </c>
      <c r="Z6" s="403" t="s">
        <v>322</v>
      </c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</row>
    <row r="7" spans="1:43" s="483" customFormat="1" ht="12.75" customHeight="1">
      <c r="A7" s="4"/>
      <c r="B7" s="5"/>
      <c r="C7" s="7"/>
      <c r="D7" s="5"/>
      <c r="E7" s="5"/>
      <c r="F7" s="5"/>
      <c r="G7" s="5"/>
      <c r="H7" s="5"/>
      <c r="I7" s="5"/>
      <c r="J7" s="5"/>
      <c r="K7" s="5"/>
      <c r="L7" s="5"/>
      <c r="M7" s="9"/>
      <c r="N7" s="9"/>
      <c r="O7" s="280"/>
      <c r="P7" s="9"/>
      <c r="Q7" s="402"/>
      <c r="R7" s="416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</row>
    <row r="8" spans="1:43" s="485" customFormat="1" ht="18" customHeight="1">
      <c r="A8" s="336"/>
      <c r="B8" s="208"/>
      <c r="C8" s="281" t="s">
        <v>40</v>
      </c>
      <c r="D8" s="297" t="str">
        <f>Translations!$B$611</f>
        <v>Инсталации, участващи в сливането, разделянето или прехвърлянето</v>
      </c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09"/>
      <c r="P8" s="209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</row>
    <row r="9" spans="1:43" s="483" customFormat="1" ht="12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9"/>
      <c r="O9" s="9"/>
      <c r="P9" s="9"/>
      <c r="Q9" s="402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</row>
    <row r="10" spans="1:43" s="486" customFormat="1" ht="15" customHeight="1">
      <c r="A10" s="207"/>
      <c r="B10" s="298"/>
      <c r="C10" s="302">
        <v>1</v>
      </c>
      <c r="D10" s="934" t="str">
        <f>Translations!$B$534&amp;" "&amp;C10</f>
        <v>Инсталация ПРЕДИ сливане, разделяне или прехвърляне 1</v>
      </c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298"/>
      <c r="P10" s="298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</row>
    <row r="11" spans="1:43" s="483" customFormat="1" ht="12.75" customHeight="1">
      <c r="A11" s="4"/>
      <c r="B11" s="5"/>
      <c r="C11" s="5"/>
      <c r="D11" s="99" t="s">
        <v>452</v>
      </c>
      <c r="E11" s="689" t="str">
        <f>Translations!$B$342</f>
        <v>Наименование на инсталацията:</v>
      </c>
      <c r="F11" s="688"/>
      <c r="G11" s="688"/>
      <c r="H11" s="688"/>
      <c r="I11" s="764"/>
      <c r="J11" s="782">
        <f>IF(S11=0,"",S11)</f>
      </c>
      <c r="K11" s="783"/>
      <c r="L11" s="783"/>
      <c r="M11" s="783"/>
      <c r="N11" s="784"/>
      <c r="O11" s="9"/>
      <c r="P11" s="9"/>
      <c r="Q11" s="402"/>
      <c r="R11" s="407">
        <f>C10</f>
        <v>1</v>
      </c>
      <c r="S11" s="384">
        <f>INDEX(A_InstallationData!$S$200:$S$273,MATCH(R11,A_InstallationData!$R$200:$R$273,0))</f>
      </c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</row>
    <row r="12" spans="1:43" s="483" customFormat="1" ht="26.25" customHeight="1">
      <c r="A12" s="4"/>
      <c r="B12" s="5"/>
      <c r="C12" s="5"/>
      <c r="D12" s="99" t="s">
        <v>243</v>
      </c>
      <c r="E12" s="689" t="str">
        <f>Translations!$B$350</f>
        <v>Предложете уникален идентификационен номер за целите на представяне на данните на Комисията:</v>
      </c>
      <c r="F12" s="688"/>
      <c r="G12" s="688"/>
      <c r="H12" s="688"/>
      <c r="I12" s="764"/>
      <c r="J12" s="782">
        <f>INDEX(A_InstallationData!$J$200:$J$273,MATCH(R12,A_InstallationData!$R$200:$R$273,0))</f>
      </c>
      <c r="K12" s="783"/>
      <c r="L12" s="783"/>
      <c r="M12" s="783"/>
      <c r="N12" s="784"/>
      <c r="O12" s="9"/>
      <c r="P12" s="9"/>
      <c r="Q12" s="402"/>
      <c r="R12" s="407">
        <f>R11</f>
        <v>1</v>
      </c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</row>
    <row r="13" spans="1:43" s="483" customFormat="1" ht="12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  <c r="P13" s="9"/>
      <c r="Q13" s="402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</row>
    <row r="14" spans="1:43" s="486" customFormat="1" ht="15" customHeight="1">
      <c r="A14" s="207"/>
      <c r="B14" s="298"/>
      <c r="C14" s="302">
        <v>2</v>
      </c>
      <c r="D14" s="934" t="str">
        <f>Translations!$B$534&amp;" "&amp;C14</f>
        <v>Инсталация ПРЕДИ сливане, разделяне или прехвърляне 2</v>
      </c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298"/>
      <c r="P14" s="298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</row>
    <row r="15" spans="1:43" s="483" customFormat="1" ht="12.75" customHeight="1">
      <c r="A15" s="4"/>
      <c r="B15" s="5"/>
      <c r="C15" s="5"/>
      <c r="D15" s="14" t="s">
        <v>452</v>
      </c>
      <c r="E15" s="689" t="str">
        <f>Translations!$B$342</f>
        <v>Наименование на инсталацията:</v>
      </c>
      <c r="F15" s="688"/>
      <c r="G15" s="688"/>
      <c r="H15" s="688"/>
      <c r="I15" s="764"/>
      <c r="J15" s="782">
        <f>IF(S15=0,"",S15)</f>
      </c>
      <c r="K15" s="783"/>
      <c r="L15" s="783"/>
      <c r="M15" s="783"/>
      <c r="N15" s="784"/>
      <c r="O15" s="9"/>
      <c r="P15" s="9"/>
      <c r="Q15" s="402"/>
      <c r="R15" s="407">
        <f>C14</f>
        <v>2</v>
      </c>
      <c r="S15" s="384">
        <f>INDEX(A_InstallationData!$S$200:$S$273,MATCH(R15,A_InstallationData!$R$200:$R$273,0))</f>
        <v>0</v>
      </c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</row>
    <row r="16" spans="1:43" s="483" customFormat="1" ht="26.25" customHeight="1">
      <c r="A16" s="4"/>
      <c r="B16" s="5"/>
      <c r="C16" s="5"/>
      <c r="D16" s="14" t="s">
        <v>243</v>
      </c>
      <c r="E16" s="689" t="str">
        <f>Translations!$B$350</f>
        <v>Предложете уникален идентификационен номер за целите на представяне на данните на Комисията:</v>
      </c>
      <c r="F16" s="688"/>
      <c r="G16" s="688"/>
      <c r="H16" s="688"/>
      <c r="I16" s="764"/>
      <c r="J16" s="782">
        <f>INDEX(A_InstallationData!$J$200:$J$273,MATCH(R16,A_InstallationData!$R$200:$R$273,0))</f>
      </c>
      <c r="K16" s="783"/>
      <c r="L16" s="783"/>
      <c r="M16" s="783"/>
      <c r="N16" s="784"/>
      <c r="O16" s="9"/>
      <c r="P16" s="9"/>
      <c r="Q16" s="402"/>
      <c r="R16" s="407">
        <f>R15</f>
        <v>2</v>
      </c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</row>
    <row r="17" spans="1:43" s="483" customFormat="1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9"/>
      <c r="O17" s="9"/>
      <c r="P17" s="9"/>
      <c r="Q17" s="402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</row>
    <row r="18" spans="1:43" s="486" customFormat="1" ht="15" customHeight="1">
      <c r="A18" s="207"/>
      <c r="B18" s="298"/>
      <c r="C18" s="302">
        <v>3</v>
      </c>
      <c r="D18" s="934" t="str">
        <f>Translations!$B$535&amp;" "&amp;C18</f>
        <v>Инсталация СЛЕД сливане, разделяне или прехвърляне (подаваща настоящата заявка) 3</v>
      </c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298"/>
      <c r="P18" s="298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</row>
    <row r="19" spans="1:43" s="483" customFormat="1" ht="12.75" customHeight="1">
      <c r="A19" s="4"/>
      <c r="B19" s="5"/>
      <c r="C19" s="5"/>
      <c r="D19" s="99" t="s">
        <v>452</v>
      </c>
      <c r="E19" s="689" t="str">
        <f>Translations!$B$342</f>
        <v>Наименование на инсталацията:</v>
      </c>
      <c r="F19" s="688"/>
      <c r="G19" s="688"/>
      <c r="H19" s="688"/>
      <c r="I19" s="764"/>
      <c r="J19" s="782">
        <f>IF(S19=0,"",S19)</f>
      </c>
      <c r="K19" s="783"/>
      <c r="L19" s="783"/>
      <c r="M19" s="783"/>
      <c r="N19" s="784"/>
      <c r="O19" s="9"/>
      <c r="P19" s="9"/>
      <c r="Q19" s="402"/>
      <c r="R19" s="407">
        <f>C18</f>
        <v>3</v>
      </c>
      <c r="S19" s="384">
        <f>INDEX(A_InstallationData!$S$200:$S$273,MATCH(R19,A_InstallationData!$R$200:$R$273,0))</f>
      </c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</row>
    <row r="20" spans="1:43" s="483" customFormat="1" ht="24.75" customHeight="1">
      <c r="A20" s="4"/>
      <c r="B20" s="5"/>
      <c r="C20" s="5"/>
      <c r="D20" s="99" t="s">
        <v>243</v>
      </c>
      <c r="E20" s="689" t="str">
        <f>Translations!$B$350</f>
        <v>Предложете уникален идентификационен номер за целите на представяне на данните на Комисията:</v>
      </c>
      <c r="F20" s="688"/>
      <c r="G20" s="688"/>
      <c r="H20" s="688"/>
      <c r="I20" s="764"/>
      <c r="J20" s="782">
        <f>INDEX(A_InstallationData!$J$200:$J$273,MATCH(R20,A_InstallationData!$R$200:$R$273,0))</f>
      </c>
      <c r="K20" s="783"/>
      <c r="L20" s="783"/>
      <c r="M20" s="783"/>
      <c r="N20" s="784"/>
      <c r="O20" s="9"/>
      <c r="P20" s="9"/>
      <c r="Q20" s="402"/>
      <c r="R20" s="407">
        <f>R19</f>
        <v>3</v>
      </c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</row>
    <row r="21" spans="1:43" s="483" customFormat="1" ht="12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9"/>
      <c r="O21" s="9"/>
      <c r="P21" s="9"/>
      <c r="Q21" s="402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</row>
    <row r="22" spans="1:43" s="486" customFormat="1" ht="15" customHeight="1">
      <c r="A22" s="207"/>
      <c r="B22" s="298"/>
      <c r="C22" s="302">
        <v>4</v>
      </c>
      <c r="D22" s="934" t="str">
        <f>Translations!$B$536&amp;" "&amp;C22</f>
        <v>Инсталация СЛЕД сливане, разделяне или прехвърляне 4</v>
      </c>
      <c r="E22" s="935"/>
      <c r="F22" s="935"/>
      <c r="G22" s="935"/>
      <c r="H22" s="935"/>
      <c r="I22" s="935"/>
      <c r="J22" s="935"/>
      <c r="K22" s="935"/>
      <c r="L22" s="935"/>
      <c r="M22" s="935"/>
      <c r="N22" s="935"/>
      <c r="O22" s="298"/>
      <c r="P22" s="298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</row>
    <row r="23" spans="1:43" s="483" customFormat="1" ht="12.75" customHeight="1">
      <c r="A23" s="4"/>
      <c r="B23" s="5"/>
      <c r="C23" s="5"/>
      <c r="D23" s="99" t="s">
        <v>452</v>
      </c>
      <c r="E23" s="689" t="str">
        <f>Translations!$B$342</f>
        <v>Наименование на инсталацията:</v>
      </c>
      <c r="F23" s="688"/>
      <c r="G23" s="688"/>
      <c r="H23" s="688"/>
      <c r="I23" s="764"/>
      <c r="J23" s="782">
        <f>IF(S23=0,"",S23)</f>
      </c>
      <c r="K23" s="783"/>
      <c r="L23" s="783"/>
      <c r="M23" s="783"/>
      <c r="N23" s="784"/>
      <c r="O23" s="9"/>
      <c r="P23" s="9"/>
      <c r="Q23" s="402"/>
      <c r="R23" s="407">
        <f>C22</f>
        <v>4</v>
      </c>
      <c r="S23" s="384">
        <f>INDEX(A_InstallationData!$S$200:$S$273,MATCH(R23,A_InstallationData!$R$200:$R$273,0))</f>
        <v>0</v>
      </c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</row>
    <row r="24" spans="1:43" s="483" customFormat="1" ht="12.75" customHeight="1">
      <c r="A24" s="4"/>
      <c r="B24" s="5"/>
      <c r="C24" s="5"/>
      <c r="D24" s="99" t="s">
        <v>243</v>
      </c>
      <c r="E24" s="689" t="str">
        <f>Translations!$B$350</f>
        <v>Предложете уникален идентификационен номер за целите на представяне на данните на Комисията:</v>
      </c>
      <c r="F24" s="688"/>
      <c r="G24" s="688"/>
      <c r="H24" s="688"/>
      <c r="I24" s="764"/>
      <c r="J24" s="782">
        <f>INDEX(A_InstallationData!$J$200:$J$273,MATCH(R24,A_InstallationData!$R$200:$R$273,0))</f>
      </c>
      <c r="K24" s="783"/>
      <c r="L24" s="783"/>
      <c r="M24" s="783"/>
      <c r="N24" s="784"/>
      <c r="O24" s="9"/>
      <c r="P24" s="9"/>
      <c r="Q24" s="402"/>
      <c r="R24" s="407">
        <f>R23</f>
        <v>4</v>
      </c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</row>
    <row r="25" spans="1:43" s="483" customFormat="1" ht="25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9"/>
      <c r="O25" s="9"/>
      <c r="P25" s="9"/>
      <c r="Q25" s="402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</row>
    <row r="26" spans="1:43" s="485" customFormat="1" ht="18" customHeight="1">
      <c r="A26" s="336"/>
      <c r="B26" s="208"/>
      <c r="C26" s="281" t="s">
        <v>70</v>
      </c>
      <c r="D26" s="297" t="str">
        <f>Translations!$B$447</f>
        <v>Данни за инсталацията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09"/>
      <c r="P26" s="209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</row>
    <row r="27" spans="1:43" s="489" customFormat="1" ht="4.5" customHeight="1">
      <c r="A27" s="28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9"/>
      <c r="N27" s="9"/>
      <c r="O27" s="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</row>
    <row r="28" spans="1:43" s="489" customFormat="1" ht="12.75" customHeight="1">
      <c r="A28" s="28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9"/>
      <c r="O28" s="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</row>
    <row r="29" spans="1:43" s="489" customFormat="1" ht="4.5" customHeight="1">
      <c r="A29" s="28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9"/>
      <c r="N29" s="9"/>
      <c r="O29" s="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</row>
    <row r="30" spans="1:43" s="483" customFormat="1" ht="25.5" customHeight="1">
      <c r="A30" s="4"/>
      <c r="B30" s="5"/>
      <c r="C30" s="5"/>
      <c r="D30" s="5"/>
      <c r="E30" s="958">
        <f>IF(ISBLANK(A_InstallationData!E13),"",A_InstallationData!E13)</f>
      </c>
      <c r="F30" s="958"/>
      <c r="G30" s="958"/>
      <c r="H30" s="958"/>
      <c r="I30" s="958"/>
      <c r="J30" s="958"/>
      <c r="K30" s="958"/>
      <c r="L30" s="958"/>
      <c r="M30" s="958"/>
      <c r="N30" s="958"/>
      <c r="O30" s="9"/>
      <c r="P30" s="9"/>
      <c r="Q30" s="402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</row>
    <row r="31" spans="1:43" s="489" customFormat="1" ht="25.5" customHeight="1">
      <c r="A31" s="284"/>
      <c r="B31" s="215"/>
      <c r="C31" s="215"/>
      <c r="D31" s="215"/>
      <c r="E31" s="958">
        <f>IF(CNTR_HasEntries_A_II,IF(ISBLANK(A_InstallationData!E36),EUconst_ERR_Mandatory_g,A_InstallationData!E36),"")</f>
      </c>
      <c r="F31" s="958"/>
      <c r="G31" s="958"/>
      <c r="H31" s="958"/>
      <c r="I31" s="958"/>
      <c r="J31" s="958"/>
      <c r="K31" s="958"/>
      <c r="L31" s="958"/>
      <c r="M31" s="958"/>
      <c r="N31" s="958"/>
      <c r="O31" s="215"/>
      <c r="P31" s="9"/>
      <c r="Q31" s="402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</row>
    <row r="32" spans="1:43" s="483" customFormat="1" ht="12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9"/>
      <c r="N32" s="9"/>
      <c r="O32" s="9"/>
      <c r="P32" s="9"/>
      <c r="Q32" s="402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</row>
    <row r="33" spans="1:43" s="489" customFormat="1" ht="15">
      <c r="A33" s="284"/>
      <c r="B33" s="215"/>
      <c r="C33" s="16">
        <v>1</v>
      </c>
      <c r="D33" s="763" t="str">
        <f>Translations!$B$341</f>
        <v>Обща информация:</v>
      </c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215"/>
      <c r="P33" s="9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</row>
    <row r="34" spans="1:43" s="489" customFormat="1" ht="4.5" customHeight="1" thickBot="1">
      <c r="A34" s="28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3"/>
      <c r="N34" s="23"/>
      <c r="O34" s="23"/>
      <c r="P34" s="9"/>
      <c r="Q34" s="10"/>
      <c r="R34" s="10"/>
      <c r="S34" s="284"/>
      <c r="T34" s="284"/>
      <c r="U34" s="284"/>
      <c r="V34" s="284"/>
      <c r="W34" s="284"/>
      <c r="X34" s="284"/>
      <c r="Y34" s="284"/>
      <c r="Z34" s="284"/>
      <c r="AA34" s="2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</row>
    <row r="35" spans="1:43" s="489" customFormat="1" ht="13.5" thickBot="1">
      <c r="A35" s="284"/>
      <c r="B35" s="215"/>
      <c r="C35" s="215"/>
      <c r="D35" s="193"/>
      <c r="E35" s="213" t="str">
        <f>Translations!$B$448</f>
        <v>Идентификационен номер на инсталацията:</v>
      </c>
      <c r="F35" s="95"/>
      <c r="G35" s="215"/>
      <c r="H35" s="950">
        <f>CNTR_UniqueID</f>
      </c>
      <c r="I35" s="674"/>
      <c r="J35" s="215"/>
      <c r="K35" s="213" t="str">
        <f>Translations!$B$449</f>
        <v>Държава-членка:</v>
      </c>
      <c r="L35" s="216"/>
      <c r="M35" s="950">
        <f>IF(ISBLANK(A_InstallationData!$J$51),"",A_InstallationData!$J$51)</f>
      </c>
      <c r="N35" s="674"/>
      <c r="O35" s="215"/>
      <c r="P35" s="215"/>
      <c r="Q35" s="419">
        <v>3</v>
      </c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</row>
    <row r="36" spans="1:43" s="489" customFormat="1" ht="12.75">
      <c r="A36" s="284"/>
      <c r="B36" s="215"/>
      <c r="C36" s="215"/>
      <c r="D36" s="193"/>
      <c r="E36" s="213" t="str">
        <f>Translations!$B$342</f>
        <v>Наименование на инсталацията:</v>
      </c>
      <c r="F36" s="95"/>
      <c r="G36" s="215"/>
      <c r="H36" s="950">
        <f>J19</f>
      </c>
      <c r="I36" s="963"/>
      <c r="J36" s="963"/>
      <c r="K36" s="963"/>
      <c r="L36" s="674"/>
      <c r="M36" s="215"/>
      <c r="N36" s="215"/>
      <c r="O36" s="215"/>
      <c r="P36" s="215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</row>
    <row r="37" spans="1:43" s="489" customFormat="1" ht="12.75">
      <c r="A37" s="284"/>
      <c r="B37" s="215"/>
      <c r="C37" s="215"/>
      <c r="D37" s="193"/>
      <c r="E37" s="213" t="str">
        <f>Translations!$B$360</f>
        <v>Име на оператора:</v>
      </c>
      <c r="F37" s="95"/>
      <c r="G37" s="215"/>
      <c r="H37" s="950">
        <f>IF(ISBLANK(A_InstallationData!$J$81),"",A_InstallationData!$J$81)</f>
      </c>
      <c r="I37" s="963"/>
      <c r="J37" s="963"/>
      <c r="K37" s="963"/>
      <c r="L37" s="674"/>
      <c r="M37" s="215"/>
      <c r="N37" s="215"/>
      <c r="O37" s="215"/>
      <c r="P37" s="215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</row>
    <row r="38" spans="1:43" s="489" customFormat="1" ht="4.5" customHeight="1">
      <c r="A38" s="284"/>
      <c r="B38" s="215"/>
      <c r="C38" s="215"/>
      <c r="D38" s="193"/>
      <c r="E38" s="213"/>
      <c r="F38" s="202"/>
      <c r="G38" s="215"/>
      <c r="H38" s="215"/>
      <c r="I38" s="215"/>
      <c r="J38" s="215"/>
      <c r="K38" s="215"/>
      <c r="L38" s="215"/>
      <c r="M38" s="278"/>
      <c r="N38" s="278"/>
      <c r="O38" s="215"/>
      <c r="P38" s="215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</row>
    <row r="39" spans="1:43" s="489" customFormat="1" ht="12.75">
      <c r="A39" s="284"/>
      <c r="B39" s="215"/>
      <c r="C39" s="215"/>
      <c r="D39" s="193"/>
      <c r="E39" s="213" t="str">
        <f>Translations!$B$450</f>
        <v>Участвала в СТЕ преди:</v>
      </c>
      <c r="F39" s="95"/>
      <c r="G39" s="215"/>
      <c r="H39" s="220">
        <f>IF(ISBLANK(A_InstallationData!$J$54),"",A_InstallationData!$J$54)</f>
      </c>
      <c r="I39" s="101"/>
      <c r="J39" s="101"/>
      <c r="K39" s="26" t="str">
        <f>Translations!$B$458</f>
        <v>Експлоатирана в отделни случаи:</v>
      </c>
      <c r="L39" s="215"/>
      <c r="M39" s="965">
        <f>IF(ISBLANK(A_InstallationData!$L$144),"",A_InstallationData!$L$144)</f>
      </c>
      <c r="N39" s="966"/>
      <c r="O39" s="215"/>
      <c r="P39" s="215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</row>
    <row r="40" spans="1:43" s="489" customFormat="1" ht="12.75">
      <c r="A40" s="284"/>
      <c r="B40" s="215"/>
      <c r="C40" s="215"/>
      <c r="D40" s="193"/>
      <c r="E40" s="213" t="str">
        <f>Translations!$B$451</f>
        <v>Начална дата:</v>
      </c>
      <c r="F40" s="215"/>
      <c r="G40" s="215"/>
      <c r="H40" s="459">
        <f>IF(A_InstallationData!$Q$18="","",A_InstallationData!$Q$18)</f>
      </c>
      <c r="I40" s="215"/>
      <c r="J40" s="215"/>
      <c r="K40" s="215"/>
      <c r="L40" s="215"/>
      <c r="M40" s="215"/>
      <c r="N40" s="221"/>
      <c r="O40" s="215"/>
      <c r="P40" s="215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</row>
    <row r="41" spans="1:43" s="489" customFormat="1" ht="4.5" customHeight="1">
      <c r="A41" s="284"/>
      <c r="B41" s="215"/>
      <c r="C41" s="215"/>
      <c r="D41" s="193"/>
      <c r="E41" s="213"/>
      <c r="F41" s="202"/>
      <c r="G41" s="215"/>
      <c r="H41" s="215"/>
      <c r="I41" s="215"/>
      <c r="J41" s="215"/>
      <c r="K41" s="215"/>
      <c r="L41" s="215"/>
      <c r="M41" s="278"/>
      <c r="N41" s="278"/>
      <c r="O41" s="215"/>
      <c r="P41" s="215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</row>
    <row r="42" spans="1:43" s="489" customFormat="1" ht="12.75">
      <c r="A42" s="284"/>
      <c r="B42" s="215"/>
      <c r="C42" s="215"/>
      <c r="D42" s="215"/>
      <c r="E42" s="213" t="str">
        <f>Translations!$B$452</f>
        <v>Код NACE през 2007 г. (NACE rev 1.1):</v>
      </c>
      <c r="F42" s="95"/>
      <c r="G42" s="97"/>
      <c r="H42" s="220">
        <f>IF(ISBLANK(A_InstallationData!$L$131),"",A_InstallationData!$L$131)</f>
      </c>
      <c r="I42" s="97"/>
      <c r="J42" s="97"/>
      <c r="K42" s="26" t="str">
        <f>Translations!$B$453</f>
        <v>Идентификация EPRTR:</v>
      </c>
      <c r="L42" s="97"/>
      <c r="M42" s="950">
        <f>IF(ISBLANK(A_InstallationData!$L$134),"",A_InstallationData!$L$134)</f>
      </c>
      <c r="N42" s="674"/>
      <c r="O42" s="215"/>
      <c r="P42" s="329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</row>
    <row r="43" spans="1:43" s="489" customFormat="1" ht="12.75">
      <c r="A43" s="284"/>
      <c r="B43" s="215"/>
      <c r="C43" s="215"/>
      <c r="D43" s="193"/>
      <c r="E43" s="213" t="str">
        <f>Translations!$B$454</f>
        <v>Код NACE през 2010 г. (NACE rev 2):</v>
      </c>
      <c r="F43" s="95"/>
      <c r="G43" s="97"/>
      <c r="H43" s="220">
        <f>IF(ISBLANK(A_InstallationData!$L$132),"",A_InstallationData!$L$132)</f>
      </c>
      <c r="I43" s="97"/>
      <c r="J43" s="97"/>
      <c r="K43" s="215"/>
      <c r="L43" s="215"/>
      <c r="M43" s="215"/>
      <c r="N43" s="215"/>
      <c r="O43" s="215"/>
      <c r="P43" s="215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</row>
    <row r="44" spans="1:43" s="489" customFormat="1" ht="4.5" customHeight="1">
      <c r="A44" s="284"/>
      <c r="B44" s="215"/>
      <c r="C44" s="215"/>
      <c r="D44" s="193"/>
      <c r="E44" s="213"/>
      <c r="F44" s="202"/>
      <c r="G44" s="202"/>
      <c r="H44" s="202"/>
      <c r="I44" s="202"/>
      <c r="J44" s="202"/>
      <c r="K44" s="202"/>
      <c r="L44" s="202"/>
      <c r="M44" s="278"/>
      <c r="N44" s="278"/>
      <c r="O44" s="215"/>
      <c r="P44" s="215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</row>
    <row r="45" spans="1:43" s="489" customFormat="1" ht="12.75">
      <c r="A45" s="284"/>
      <c r="B45" s="215"/>
      <c r="C45" s="215"/>
      <c r="D45" s="193"/>
      <c r="E45" s="213" t="str">
        <f>Translations!$B$376</f>
        <v>Дейности съгласно Приложение I на Директивата за Европейската схема за търговия с емисии:</v>
      </c>
      <c r="F45" s="215"/>
      <c r="G45" s="215"/>
      <c r="H45" s="95"/>
      <c r="I45" s="95"/>
      <c r="J45" s="95"/>
      <c r="K45" s="95"/>
      <c r="L45" s="215"/>
      <c r="M45" s="221"/>
      <c r="N45" s="221"/>
      <c r="O45" s="215"/>
      <c r="P45" s="215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</row>
    <row r="46" spans="1:43" s="489" customFormat="1" ht="12.75">
      <c r="A46" s="284"/>
      <c r="B46" s="215"/>
      <c r="C46" s="215"/>
      <c r="D46" s="26"/>
      <c r="E46" s="458" t="s">
        <v>401</v>
      </c>
      <c r="F46" s="962">
        <f>IF(ISBLANK(A_InstallationData!F117),"",A_InstallationData!F117)</f>
      </c>
      <c r="G46" s="963"/>
      <c r="H46" s="963"/>
      <c r="I46" s="963"/>
      <c r="J46" s="963"/>
      <c r="K46" s="963"/>
      <c r="L46" s="963"/>
      <c r="M46" s="963"/>
      <c r="N46" s="674"/>
      <c r="O46" s="215"/>
      <c r="P46" s="215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</row>
    <row r="47" spans="1:43" s="489" customFormat="1" ht="12.75">
      <c r="A47" s="284"/>
      <c r="B47" s="215"/>
      <c r="C47" s="215"/>
      <c r="D47" s="193"/>
      <c r="E47" s="458" t="s">
        <v>402</v>
      </c>
      <c r="F47" s="962">
        <f>IF(ISBLANK(A_InstallationData!F118),"",A_InstallationData!F118)</f>
      </c>
      <c r="G47" s="963"/>
      <c r="H47" s="963"/>
      <c r="I47" s="963"/>
      <c r="J47" s="963"/>
      <c r="K47" s="963"/>
      <c r="L47" s="963"/>
      <c r="M47" s="963"/>
      <c r="N47" s="674"/>
      <c r="O47" s="215"/>
      <c r="P47" s="215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</row>
    <row r="48" spans="1:43" s="489" customFormat="1" ht="12.75">
      <c r="A48" s="284"/>
      <c r="B48" s="215"/>
      <c r="C48" s="215"/>
      <c r="D48" s="214"/>
      <c r="E48" s="458" t="s">
        <v>403</v>
      </c>
      <c r="F48" s="962">
        <f>IF(ISBLANK(A_InstallationData!F119),"",A_InstallationData!F119)</f>
      </c>
      <c r="G48" s="963"/>
      <c r="H48" s="963"/>
      <c r="I48" s="963"/>
      <c r="J48" s="963"/>
      <c r="K48" s="963"/>
      <c r="L48" s="963"/>
      <c r="M48" s="963"/>
      <c r="N48" s="674"/>
      <c r="O48" s="215"/>
      <c r="P48" s="215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</row>
    <row r="49" spans="1:43" s="489" customFormat="1" ht="12.75">
      <c r="A49" s="284"/>
      <c r="B49" s="215"/>
      <c r="C49" s="215"/>
      <c r="D49" s="214"/>
      <c r="E49" s="458" t="s">
        <v>404</v>
      </c>
      <c r="F49" s="962">
        <f>IF(ISBLANK(A_InstallationData!F120),"",A_InstallationData!F120)</f>
      </c>
      <c r="G49" s="963"/>
      <c r="H49" s="963"/>
      <c r="I49" s="963"/>
      <c r="J49" s="963"/>
      <c r="K49" s="963"/>
      <c r="L49" s="963"/>
      <c r="M49" s="963"/>
      <c r="N49" s="674"/>
      <c r="O49" s="215"/>
      <c r="P49" s="215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</row>
    <row r="50" spans="1:43" s="489" customFormat="1" ht="12.75">
      <c r="A50" s="284"/>
      <c r="B50" s="215"/>
      <c r="C50" s="215"/>
      <c r="D50" s="214"/>
      <c r="E50" s="458" t="s">
        <v>405</v>
      </c>
      <c r="F50" s="962">
        <f>IF(ISBLANK(A_InstallationData!F121),"",A_InstallationData!F121)</f>
      </c>
      <c r="G50" s="963"/>
      <c r="H50" s="963"/>
      <c r="I50" s="963"/>
      <c r="J50" s="963"/>
      <c r="K50" s="963"/>
      <c r="L50" s="963"/>
      <c r="M50" s="963"/>
      <c r="N50" s="674"/>
      <c r="O50" s="215"/>
      <c r="P50" s="26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</row>
    <row r="51" spans="1:43" s="489" customFormat="1" ht="12.75">
      <c r="A51" s="28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</row>
    <row r="52" spans="1:43" s="489" customFormat="1" ht="15">
      <c r="A52" s="284"/>
      <c r="B52" s="215"/>
      <c r="C52" s="16">
        <v>3</v>
      </c>
      <c r="D52" s="763" t="str">
        <f>Translations!$B$484</f>
        <v>Технически връзки (раздел A.VІ):</v>
      </c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215"/>
      <c r="P52" s="215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</row>
    <row r="53" spans="1:43" s="489" customFormat="1" ht="12.75">
      <c r="A53" s="284"/>
      <c r="B53" s="215"/>
      <c r="C53" s="215"/>
      <c r="D53" s="215"/>
      <c r="E53" s="959" t="str">
        <f>Translations!$B$455</f>
        <v>Име на връзката</v>
      </c>
      <c r="F53" s="960"/>
      <c r="G53" s="960"/>
      <c r="H53" s="961"/>
      <c r="I53" s="959" t="str">
        <f>Translations!$B$456</f>
        <v>Идентификатор в CITL, ако е приложимо</v>
      </c>
      <c r="J53" s="960"/>
      <c r="K53" s="961"/>
      <c r="L53" s="959" t="str">
        <f>Translations!$B$457</f>
        <v>Вид обект</v>
      </c>
      <c r="M53" s="960"/>
      <c r="N53" s="960"/>
      <c r="O53" s="215"/>
      <c r="P53" s="215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</row>
    <row r="54" spans="1:43" s="489" customFormat="1" ht="12.75">
      <c r="A54" s="284"/>
      <c r="B54" s="215"/>
      <c r="C54" s="215"/>
      <c r="D54" s="215">
        <v>1</v>
      </c>
      <c r="E54" s="950">
        <f aca="true" t="shared" si="0" ref="E54:E63">IF(INDEX(CNTR_ConnectionEntityList,$D54)=EUconst_NA,"",INDEX(CNTR_ConnectionEntityList,$D54))</f>
      </c>
      <c r="F54" s="951"/>
      <c r="G54" s="951"/>
      <c r="H54" s="952"/>
      <c r="I54" s="953">
        <f aca="true" t="shared" si="1" ref="I54:I63">INDEX(CNTR_ConnectionEntityListCITL_IDs,$D54)</f>
      </c>
      <c r="J54" s="954"/>
      <c r="K54" s="955"/>
      <c r="L54" s="950">
        <f aca="true" t="shared" si="2" ref="L54:L63">INDEX(CNTR_ConnectionEntityListTypes,$D54)</f>
      </c>
      <c r="M54" s="956"/>
      <c r="N54" s="957"/>
      <c r="O54" s="215"/>
      <c r="P54" s="215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</row>
    <row r="55" spans="1:43" s="489" customFormat="1" ht="12.75">
      <c r="A55" s="284"/>
      <c r="B55" s="215"/>
      <c r="C55" s="215"/>
      <c r="D55" s="215">
        <v>2</v>
      </c>
      <c r="E55" s="950">
        <f t="shared" si="0"/>
      </c>
      <c r="F55" s="951"/>
      <c r="G55" s="951"/>
      <c r="H55" s="952"/>
      <c r="I55" s="953">
        <f t="shared" si="1"/>
      </c>
      <c r="J55" s="954"/>
      <c r="K55" s="955"/>
      <c r="L55" s="950">
        <f t="shared" si="2"/>
      </c>
      <c r="M55" s="956"/>
      <c r="N55" s="957"/>
      <c r="O55" s="215"/>
      <c r="P55" s="215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</row>
    <row r="56" spans="1:43" s="489" customFormat="1" ht="12.75">
      <c r="A56" s="284"/>
      <c r="B56" s="215"/>
      <c r="C56" s="215"/>
      <c r="D56" s="215">
        <v>3</v>
      </c>
      <c r="E56" s="950">
        <f t="shared" si="0"/>
      </c>
      <c r="F56" s="951"/>
      <c r="G56" s="951"/>
      <c r="H56" s="952"/>
      <c r="I56" s="953">
        <f t="shared" si="1"/>
      </c>
      <c r="J56" s="954"/>
      <c r="K56" s="955"/>
      <c r="L56" s="950">
        <f t="shared" si="2"/>
      </c>
      <c r="M56" s="956"/>
      <c r="N56" s="957"/>
      <c r="O56" s="215"/>
      <c r="P56" s="215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</row>
    <row r="57" spans="1:43" s="489" customFormat="1" ht="12.75">
      <c r="A57" s="284"/>
      <c r="B57" s="215"/>
      <c r="C57" s="215"/>
      <c r="D57" s="215">
        <v>4</v>
      </c>
      <c r="E57" s="950">
        <f t="shared" si="0"/>
      </c>
      <c r="F57" s="951"/>
      <c r="G57" s="951"/>
      <c r="H57" s="952"/>
      <c r="I57" s="953">
        <f t="shared" si="1"/>
      </c>
      <c r="J57" s="954"/>
      <c r="K57" s="955"/>
      <c r="L57" s="950">
        <f t="shared" si="2"/>
      </c>
      <c r="M57" s="956"/>
      <c r="N57" s="957"/>
      <c r="O57" s="215"/>
      <c r="P57" s="215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</row>
    <row r="58" spans="1:43" s="489" customFormat="1" ht="12.75">
      <c r="A58" s="284"/>
      <c r="B58" s="215"/>
      <c r="C58" s="215"/>
      <c r="D58" s="215">
        <v>5</v>
      </c>
      <c r="E58" s="950">
        <f t="shared" si="0"/>
      </c>
      <c r="F58" s="951"/>
      <c r="G58" s="951"/>
      <c r="H58" s="952"/>
      <c r="I58" s="953">
        <f t="shared" si="1"/>
      </c>
      <c r="J58" s="954"/>
      <c r="K58" s="955"/>
      <c r="L58" s="950">
        <f t="shared" si="2"/>
      </c>
      <c r="M58" s="956"/>
      <c r="N58" s="957"/>
      <c r="O58" s="215"/>
      <c r="P58" s="215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</row>
    <row r="59" spans="1:43" s="489" customFormat="1" ht="12.75">
      <c r="A59" s="284"/>
      <c r="B59" s="215"/>
      <c r="C59" s="215"/>
      <c r="D59" s="215">
        <v>6</v>
      </c>
      <c r="E59" s="950">
        <f t="shared" si="0"/>
      </c>
      <c r="F59" s="951"/>
      <c r="G59" s="951"/>
      <c r="H59" s="952"/>
      <c r="I59" s="953">
        <f t="shared" si="1"/>
      </c>
      <c r="J59" s="954"/>
      <c r="K59" s="955"/>
      <c r="L59" s="950">
        <f t="shared" si="2"/>
      </c>
      <c r="M59" s="956"/>
      <c r="N59" s="957"/>
      <c r="O59" s="215"/>
      <c r="P59" s="215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</row>
    <row r="60" spans="1:43" s="489" customFormat="1" ht="12.75">
      <c r="A60" s="284"/>
      <c r="B60" s="215"/>
      <c r="C60" s="215"/>
      <c r="D60" s="215">
        <v>7</v>
      </c>
      <c r="E60" s="950">
        <f t="shared" si="0"/>
      </c>
      <c r="F60" s="951"/>
      <c r="G60" s="951"/>
      <c r="H60" s="952"/>
      <c r="I60" s="953">
        <f t="shared" si="1"/>
      </c>
      <c r="J60" s="954"/>
      <c r="K60" s="955"/>
      <c r="L60" s="950">
        <f t="shared" si="2"/>
      </c>
      <c r="M60" s="956"/>
      <c r="N60" s="957"/>
      <c r="O60" s="215"/>
      <c r="P60" s="215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</row>
    <row r="61" spans="1:43" s="489" customFormat="1" ht="12.75">
      <c r="A61" s="284"/>
      <c r="B61" s="215"/>
      <c r="C61" s="215"/>
      <c r="D61" s="215">
        <v>8</v>
      </c>
      <c r="E61" s="950">
        <f t="shared" si="0"/>
      </c>
      <c r="F61" s="951"/>
      <c r="G61" s="951"/>
      <c r="H61" s="952"/>
      <c r="I61" s="953">
        <f t="shared" si="1"/>
      </c>
      <c r="J61" s="954"/>
      <c r="K61" s="955"/>
      <c r="L61" s="950">
        <f t="shared" si="2"/>
      </c>
      <c r="M61" s="956"/>
      <c r="N61" s="957"/>
      <c r="O61" s="215"/>
      <c r="P61" s="215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</row>
    <row r="62" spans="1:43" s="489" customFormat="1" ht="12.75">
      <c r="A62" s="284"/>
      <c r="B62" s="215"/>
      <c r="C62" s="215"/>
      <c r="D62" s="215">
        <v>9</v>
      </c>
      <c r="E62" s="950">
        <f t="shared" si="0"/>
      </c>
      <c r="F62" s="951"/>
      <c r="G62" s="951"/>
      <c r="H62" s="952"/>
      <c r="I62" s="953">
        <f t="shared" si="1"/>
      </c>
      <c r="J62" s="954"/>
      <c r="K62" s="955"/>
      <c r="L62" s="950">
        <f t="shared" si="2"/>
      </c>
      <c r="M62" s="956"/>
      <c r="N62" s="957"/>
      <c r="O62" s="215"/>
      <c r="P62" s="215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</row>
    <row r="63" spans="1:43" s="489" customFormat="1" ht="12.75">
      <c r="A63" s="284"/>
      <c r="B63" s="215"/>
      <c r="C63" s="215"/>
      <c r="D63" s="215">
        <v>10</v>
      </c>
      <c r="E63" s="950">
        <f t="shared" si="0"/>
      </c>
      <c r="F63" s="951"/>
      <c r="G63" s="951"/>
      <c r="H63" s="952"/>
      <c r="I63" s="953">
        <f t="shared" si="1"/>
      </c>
      <c r="J63" s="954"/>
      <c r="K63" s="955"/>
      <c r="L63" s="950">
        <f t="shared" si="2"/>
      </c>
      <c r="M63" s="956"/>
      <c r="N63" s="957"/>
      <c r="O63" s="215"/>
      <c r="P63" s="215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</row>
    <row r="64" spans="1:43" s="489" customFormat="1" ht="25.5" customHeight="1">
      <c r="A64" s="284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</row>
    <row r="65" spans="1:43" s="486" customFormat="1" ht="18" customHeight="1">
      <c r="A65" s="207"/>
      <c r="B65" s="208"/>
      <c r="C65" s="281" t="s">
        <v>124</v>
      </c>
      <c r="D65" s="964" t="str">
        <f>Translations!$B$612</f>
        <v>Ново разпределение на квотите</v>
      </c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209"/>
      <c r="P65" s="209"/>
      <c r="Q65" s="454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</row>
    <row r="66" spans="1:43" s="483" customFormat="1" ht="12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9"/>
      <c r="N66" s="9"/>
      <c r="O66" s="9"/>
      <c r="P66" s="9"/>
      <c r="Q66" s="402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</row>
    <row r="67" spans="1:43" s="483" customFormat="1" ht="25.5" customHeight="1">
      <c r="A67" s="4"/>
      <c r="B67" s="5"/>
      <c r="C67" s="5"/>
      <c r="D67" s="742" t="str">
        <f>Translations!B632</f>
        <v>В Указателен документ 10 относно „Разпределение на квоти при сливане и разделяне“ има изискване в глава 1, което гласи че „сливането или разделянето не трябва да води до предоставяне на повече квоти в сравнение с количеството квоти, докладвано в Националната таблица за разпределение на квоти (NAT) преди сливането или разделянето“.</v>
      </c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9"/>
      <c r="P67" s="9"/>
      <c r="Q67" s="402"/>
      <c r="R67" s="384"/>
      <c r="S67" s="384"/>
      <c r="T67" s="384"/>
      <c r="U67" s="384"/>
      <c r="V67" s="384"/>
      <c r="W67" s="384"/>
      <c r="X67" s="384"/>
      <c r="Y67" s="386">
        <v>2013</v>
      </c>
      <c r="Z67" s="386">
        <v>2014</v>
      </c>
      <c r="AA67" s="386">
        <v>2015</v>
      </c>
      <c r="AB67" s="386">
        <v>2016</v>
      </c>
      <c r="AC67" s="386">
        <v>2017</v>
      </c>
      <c r="AD67" s="386">
        <v>2018</v>
      </c>
      <c r="AE67" s="386">
        <v>2019</v>
      </c>
      <c r="AF67" s="386">
        <v>2020</v>
      </c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</row>
    <row r="68" spans="1:43" s="483" customFormat="1" ht="25.5" customHeight="1">
      <c r="A68" s="4"/>
      <c r="B68" s="5"/>
      <c r="C68" s="5"/>
      <c r="D68" s="742" t="str">
        <f>Translations!B633</f>
        <v>Поради прилаганото закръгляване и в зависимост от дяловете, въведени в Лист C, възможно е сумата на разпределените квоти, изчислена в разделите  III.1 и III.2 по-долу, да надхвърли разпределените квоти преди сливането или разделянето. В този случай в клетката по-долу ще се появи съобщение за грешка.</v>
      </c>
      <c r="E68" s="742"/>
      <c r="F68" s="742"/>
      <c r="G68" s="742"/>
      <c r="H68" s="742"/>
      <c r="I68" s="742"/>
      <c r="J68" s="742"/>
      <c r="K68" s="742"/>
      <c r="L68" s="742"/>
      <c r="M68" s="742"/>
      <c r="N68" s="742"/>
      <c r="O68" s="9"/>
      <c r="P68" s="9"/>
      <c r="Q68" s="402"/>
      <c r="R68" s="384"/>
      <c r="S68" s="384"/>
      <c r="T68" s="384"/>
      <c r="U68" s="384"/>
      <c r="V68" s="384"/>
      <c r="W68" s="384"/>
      <c r="X68" s="384"/>
      <c r="Y68" s="540">
        <f aca="true" t="shared" si="3" ref="Y68:AF68">IF(Y67&lt;=CNTR_YearMergerSplit,"",SUM(G$94,G$140))</f>
        <v>0</v>
      </c>
      <c r="Z68" s="540">
        <f t="shared" si="3"/>
        <v>0</v>
      </c>
      <c r="AA68" s="540">
        <f t="shared" si="3"/>
        <v>0</v>
      </c>
      <c r="AB68" s="540">
        <f t="shared" si="3"/>
        <v>0</v>
      </c>
      <c r="AC68" s="540">
        <f t="shared" si="3"/>
        <v>0</v>
      </c>
      <c r="AD68" s="540">
        <f t="shared" si="3"/>
        <v>0</v>
      </c>
      <c r="AE68" s="540">
        <f t="shared" si="3"/>
        <v>0</v>
      </c>
      <c r="AF68" s="540">
        <f t="shared" si="3"/>
        <v>0</v>
      </c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</row>
    <row r="69" spans="1:43" s="483" customFormat="1" ht="12.75" customHeight="1">
      <c r="A69" s="4"/>
      <c r="B69" s="5"/>
      <c r="C69" s="5"/>
      <c r="D69" s="738" t="str">
        <f>Translations!B634</f>
        <v>Ако се появи такова съобщение за грешка, моля променете дяловете, въведени в Лист C, така че да се избегне грешката при закръглението.</v>
      </c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9"/>
      <c r="P69" s="9"/>
      <c r="Q69" s="402"/>
      <c r="R69" s="384"/>
      <c r="S69" s="384"/>
      <c r="T69" s="384"/>
      <c r="U69" s="384"/>
      <c r="V69" s="384"/>
      <c r="W69" s="411" t="s">
        <v>549</v>
      </c>
      <c r="X69" s="384"/>
      <c r="Y69" s="540">
        <f>SUM(B_InitialSituation!G$35,B_InitialSituation!G$107)</f>
        <v>0</v>
      </c>
      <c r="Z69" s="540">
        <f>SUM(B_InitialSituation!H$35,B_InitialSituation!H$107)</f>
        <v>0</v>
      </c>
      <c r="AA69" s="540">
        <f>SUM(B_InitialSituation!I$35,B_InitialSituation!I$107)</f>
        <v>0</v>
      </c>
      <c r="AB69" s="540">
        <f>SUM(B_InitialSituation!J$35,B_InitialSituation!J$107)</f>
        <v>0</v>
      </c>
      <c r="AC69" s="540">
        <f>SUM(B_InitialSituation!K$35,B_InitialSituation!K$107)</f>
        <v>0</v>
      </c>
      <c r="AD69" s="540">
        <f>SUM(B_InitialSituation!L$35,B_InitialSituation!L$107)</f>
        <v>0</v>
      </c>
      <c r="AE69" s="540">
        <f>SUM(B_InitialSituation!M$35,B_InitialSituation!M$107)</f>
        <v>0</v>
      </c>
      <c r="AF69" s="540">
        <f>SUM(B_InitialSituation!N$35,B_InitialSituation!N$107)</f>
        <v>0</v>
      </c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</row>
    <row r="70" spans="1:43" s="483" customFormat="1" ht="12.75" customHeight="1">
      <c r="A70" s="4"/>
      <c r="B70" s="5"/>
      <c r="C70" s="5"/>
      <c r="D70" s="1002">
        <f>IF(W70,EUconst_ERR_Rounding,"")</f>
      </c>
      <c r="E70" s="1002"/>
      <c r="F70" s="1002"/>
      <c r="G70" s="1002"/>
      <c r="H70" s="1002"/>
      <c r="I70" s="1002"/>
      <c r="J70" s="1002"/>
      <c r="K70" s="1002"/>
      <c r="L70" s="1002"/>
      <c r="M70" s="1002"/>
      <c r="N70" s="1002"/>
      <c r="O70" s="9"/>
      <c r="P70" s="9"/>
      <c r="Q70" s="402"/>
      <c r="R70" s="384"/>
      <c r="S70" s="384"/>
      <c r="T70" s="384"/>
      <c r="U70" s="384"/>
      <c r="V70" s="384"/>
      <c r="W70" s="409" t="b">
        <f>OR(Y70:AF70)</f>
        <v>0</v>
      </c>
      <c r="X70" s="541" t="s">
        <v>550</v>
      </c>
      <c r="Y70" s="598" t="b">
        <f>IF(Y68="","",(ROUND(Y68,0)-ROUND(Y69,0))&gt;0)</f>
        <v>0</v>
      </c>
      <c r="Z70" s="598" t="b">
        <f aca="true" t="shared" si="4" ref="Z70:AF70">IF(Z68="","",(ROUND(Z68,0)-ROUND(Z69,0))&gt;0)</f>
        <v>0</v>
      </c>
      <c r="AA70" s="598" t="b">
        <f t="shared" si="4"/>
        <v>0</v>
      </c>
      <c r="AB70" s="598" t="b">
        <f t="shared" si="4"/>
        <v>0</v>
      </c>
      <c r="AC70" s="598" t="b">
        <f t="shared" si="4"/>
        <v>0</v>
      </c>
      <c r="AD70" s="598" t="b">
        <f t="shared" si="4"/>
        <v>0</v>
      </c>
      <c r="AE70" s="598" t="b">
        <f t="shared" si="4"/>
        <v>0</v>
      </c>
      <c r="AF70" s="598" t="b">
        <f t="shared" si="4"/>
        <v>0</v>
      </c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</row>
    <row r="71" spans="1:43" s="483" customFormat="1" ht="12.75" customHeight="1" thickBot="1">
      <c r="A71" s="4"/>
      <c r="B71" s="5"/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9"/>
      <c r="P71" s="9"/>
      <c r="Q71" s="402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</row>
    <row r="72" spans="1:43" s="486" customFormat="1" ht="15" customHeight="1" thickBot="1">
      <c r="A72" s="207"/>
      <c r="B72" s="208"/>
      <c r="C72" s="302">
        <v>1</v>
      </c>
      <c r="D72" s="918" t="str">
        <f>Translations!$B$460</f>
        <v>Индикативно очаквано крайно количество безплатни квоти:</v>
      </c>
      <c r="E72" s="918"/>
      <c r="F72" s="918"/>
      <c r="G72" s="918"/>
      <c r="H72" s="918"/>
      <c r="I72" s="918"/>
      <c r="J72" s="918"/>
      <c r="K72" s="919"/>
      <c r="L72" s="920">
        <f>CHOOSE(C72,$J$20,$J$24)</f>
      </c>
      <c r="M72" s="921"/>
      <c r="N72" s="922"/>
      <c r="O72" s="209"/>
      <c r="P72" s="209"/>
      <c r="Q72" s="454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6"/>
      <c r="AQ72" s="406"/>
    </row>
    <row r="73" spans="1:43" s="483" customFormat="1" ht="24.75" customHeight="1">
      <c r="A73" s="4"/>
      <c r="B73" s="5"/>
      <c r="C73" s="5"/>
      <c r="D73" s="742" t="str">
        <f>Translations!$B$625</f>
        <v>Изписаните тук количества отразяват изчислението на окончателното общо количество безплатно предоставяни квоти за инсталацията, за която се подава настоящата заявка.</v>
      </c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9"/>
      <c r="P73" s="9"/>
      <c r="Q73" s="402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</row>
    <row r="74" spans="1:43" s="483" customFormat="1" ht="4.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9"/>
      <c r="N74" s="9"/>
      <c r="O74" s="9"/>
      <c r="P74" s="9"/>
      <c r="Q74" s="402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</row>
    <row r="75" spans="1:43" s="483" customFormat="1" ht="12.75" customHeight="1" thickBot="1">
      <c r="A75" s="4"/>
      <c r="B75" s="5"/>
      <c r="C75" s="20"/>
      <c r="D75" s="803" t="str">
        <f>Translations!$B$402</f>
        <v>Подинсталация</v>
      </c>
      <c r="E75" s="842"/>
      <c r="F75" s="914"/>
      <c r="G75" s="211">
        <v>2013</v>
      </c>
      <c r="H75" s="211">
        <v>2014</v>
      </c>
      <c r="I75" s="211">
        <v>2015</v>
      </c>
      <c r="J75" s="211">
        <v>2016</v>
      </c>
      <c r="K75" s="211">
        <v>2017</v>
      </c>
      <c r="L75" s="211">
        <v>2018</v>
      </c>
      <c r="M75" s="211">
        <v>2019</v>
      </c>
      <c r="N75" s="211">
        <v>2020</v>
      </c>
      <c r="O75" s="288"/>
      <c r="P75" s="286"/>
      <c r="Q75" s="402"/>
      <c r="R75" s="384"/>
      <c r="S75" s="384"/>
      <c r="T75" s="410" t="s">
        <v>487</v>
      </c>
      <c r="U75" s="384"/>
      <c r="V75" s="410" t="s">
        <v>532</v>
      </c>
      <c r="W75" s="384"/>
      <c r="X75" s="385">
        <v>1</v>
      </c>
      <c r="Y75" s="386">
        <v>2013</v>
      </c>
      <c r="Z75" s="386">
        <v>2014</v>
      </c>
      <c r="AA75" s="386">
        <v>2015</v>
      </c>
      <c r="AB75" s="386">
        <v>2016</v>
      </c>
      <c r="AC75" s="386">
        <v>2017</v>
      </c>
      <c r="AD75" s="386">
        <v>2018</v>
      </c>
      <c r="AE75" s="386">
        <v>2019</v>
      </c>
      <c r="AF75" s="386">
        <v>2020</v>
      </c>
      <c r="AG75" s="384"/>
      <c r="AH75" s="385">
        <v>2</v>
      </c>
      <c r="AI75" s="386">
        <v>2013</v>
      </c>
      <c r="AJ75" s="386">
        <v>2014</v>
      </c>
      <c r="AK75" s="386">
        <v>2015</v>
      </c>
      <c r="AL75" s="386">
        <v>2016</v>
      </c>
      <c r="AM75" s="386">
        <v>2017</v>
      </c>
      <c r="AN75" s="386">
        <v>2018</v>
      </c>
      <c r="AO75" s="386">
        <v>2019</v>
      </c>
      <c r="AP75" s="386">
        <v>2020</v>
      </c>
      <c r="AQ75" s="384"/>
    </row>
    <row r="76" spans="1:43" s="483" customFormat="1" ht="12.75" customHeight="1" thickBot="1">
      <c r="A76" s="4"/>
      <c r="B76" s="5"/>
      <c r="C76" s="210">
        <v>0</v>
      </c>
      <c r="D76" s="892" t="str">
        <f>Translations!$B$501</f>
        <v>Етап преди започване</v>
      </c>
      <c r="E76" s="893"/>
      <c r="F76" s="894"/>
      <c r="G76" s="352">
        <f>IF(SUM(IF(ISERROR(Y76),0,Y76),IF(ISERROR(AI76),0,AI76))=0,"",ROUND(SUM(IF(ISERROR(Y76),0,Y76),IF(ISERROR(AI76),0,AI76)),0))</f>
      </c>
      <c r="H76" s="352">
        <f aca="true" t="shared" si="5" ref="H76:H93">IF(SUM(IF(ISERROR(Z76),0,Z76),IF(ISERROR(AJ76),0,AJ76))=0,"",ROUND(SUM(IF(ISERROR(Z76),0,Z76),IF(ISERROR(AJ76),0,AJ76)),0))</f>
      </c>
      <c r="I76" s="352">
        <f aca="true" t="shared" si="6" ref="I76:I93">IF(SUM(IF(ISERROR(AA76),0,AA76),IF(ISERROR(AK76),0,AK76))=0,"",ROUND(SUM(IF(ISERROR(AA76),0,AA76),IF(ISERROR(AK76),0,AK76)),0))</f>
      </c>
      <c r="J76" s="352">
        <f aca="true" t="shared" si="7" ref="J76:J93">IF(SUM(IF(ISERROR(AB76),0,AB76),IF(ISERROR(AL76),0,AL76))=0,"",ROUND(SUM(IF(ISERROR(AB76),0,AB76),IF(ISERROR(AL76),0,AL76)),0))</f>
      </c>
      <c r="K76" s="352">
        <f aca="true" t="shared" si="8" ref="K76:K93">IF(SUM(IF(ISERROR(AC76),0,AC76),IF(ISERROR(AM76),0,AM76))=0,"",ROUND(SUM(IF(ISERROR(AC76),0,AC76),IF(ISERROR(AM76),0,AM76)),0))</f>
      </c>
      <c r="L76" s="352">
        <f aca="true" t="shared" si="9" ref="L76:L93">IF(SUM(IF(ISERROR(AD76),0,AD76),IF(ISERROR(AN76),0,AN76))=0,"",ROUND(SUM(IF(ISERROR(AD76),0,AD76),IF(ISERROR(AN76),0,AN76)),0))</f>
      </c>
      <c r="M76" s="352">
        <f aca="true" t="shared" si="10" ref="M76:M93">IF(SUM(IF(ISERROR(AE76),0,AE76),IF(ISERROR(AO76),0,AO76))=0,"",ROUND(SUM(IF(ISERROR(AE76),0,AE76),IF(ISERROR(AO76),0,AO76)),0))</f>
      </c>
      <c r="N76" s="352">
        <f aca="true" t="shared" si="11" ref="N76:N93">IF(SUM(IF(ISERROR(AF76),0,AF76),IF(ISERROR(AP76),0,AP76))=0,"",ROUND(SUM(IF(ISERROR(AF76),0,AF76),IF(ISERROR(AP76),0,AP76)),0))</f>
      </c>
      <c r="O76" s="342"/>
      <c r="P76" s="286"/>
      <c r="Q76" s="412" t="str">
        <f aca="true" t="shared" si="12" ref="Q76:Q93">EUconst_CNTR_Finitial&amp;1&amp;"_"&amp;$D76</f>
        <v>FInitial_1_Етап преди започване</v>
      </c>
      <c r="R76" s="412" t="str">
        <f aca="true" t="shared" si="13" ref="R76:R93">EUconst_CNTR_Finitial&amp;2&amp;"_"&amp;$D76</f>
        <v>FInitial_2_Етап преди започване</v>
      </c>
      <c r="S76" s="384"/>
      <c r="T76" s="410"/>
      <c r="U76" s="384"/>
      <c r="V76" s="413">
        <f>C72</f>
        <v>1</v>
      </c>
      <c r="W76" s="384"/>
      <c r="X76" s="387">
        <f>INDEX(CHOOSE($V76,C_MergerSplitTransfer!$H$9:$H$68,C_MergerSplitTransfer!$K$9:$K$68),MATCH(Q76,C_MergerSplitTransfer!$T$9:$T$68,0))</f>
        <v>0</v>
      </c>
      <c r="Y76" s="388">
        <f>IF(Y$75&lt;=CNTR_YearMergerSplit,"",INDEX(B_InitialSituation!G$9:G$153,MATCH($Q76,B_InitialSituation!$Q$9:$Q$153,0))*$X76)</f>
        <v>0</v>
      </c>
      <c r="Z76" s="388">
        <f>IF(Z$75&lt;=CNTR_YearMergerSplit,"",INDEX(B_InitialSituation!H$9:H$153,MATCH($Q76,B_InitialSituation!$Q$9:$Q$153,0))*$X76)</f>
        <v>0</v>
      </c>
      <c r="AA76" s="388">
        <f>IF(AA$75&lt;=CNTR_YearMergerSplit,"",INDEX(B_InitialSituation!I$9:I$153,MATCH($Q76,B_InitialSituation!$Q$9:$Q$153,0))*$X76)</f>
        <v>0</v>
      </c>
      <c r="AB76" s="388">
        <f>IF(AB$75&lt;=CNTR_YearMergerSplit,"",INDEX(B_InitialSituation!J$9:J$153,MATCH($Q76,B_InitialSituation!$Q$9:$Q$153,0))*$X76)</f>
        <v>0</v>
      </c>
      <c r="AC76" s="388">
        <f>IF(AC$75&lt;=CNTR_YearMergerSplit,"",INDEX(B_InitialSituation!K$9:K$153,MATCH($Q76,B_InitialSituation!$Q$9:$Q$153,0))*$X76)</f>
        <v>0</v>
      </c>
      <c r="AD76" s="388">
        <f>IF(AD$75&lt;=CNTR_YearMergerSplit,"",INDEX(B_InitialSituation!L$9:L$153,MATCH($Q76,B_InitialSituation!$Q$9:$Q$153,0))*$X76)</f>
        <v>0</v>
      </c>
      <c r="AE76" s="388">
        <f>IF(AE$75&lt;=CNTR_YearMergerSplit,"",INDEX(B_InitialSituation!M$9:M$153,MATCH($Q76,B_InitialSituation!$Q$9:$Q$153,0))*$X76)</f>
        <v>0</v>
      </c>
      <c r="AF76" s="388">
        <f>IF(AF$75&lt;=CNTR_YearMergerSplit,"",INDEX(B_InitialSituation!N$9:N$153,MATCH($Q76,B_InitialSituation!$Q$9:$Q$153,0))*$X76)</f>
        <v>0</v>
      </c>
      <c r="AG76" s="384"/>
      <c r="AH76" s="387">
        <f>INDEX(CHOOSE($V76,C_MergerSplitTransfer!$H$9:$H$68,C_MergerSplitTransfer!$K$9:$K$68),MATCH(R76,C_MergerSplitTransfer!$T$9:$T$68,0))</f>
        <v>0</v>
      </c>
      <c r="AI76" s="388">
        <f>IF(AI$75&lt;=CNTR_YearMergerSplit,"",INDEX(B_InitialSituation!G$9:G$153,MATCH($R76,B_InitialSituation!$Q$9:$Q$153,0))*$AH76)</f>
        <v>0</v>
      </c>
      <c r="AJ76" s="388">
        <f>IF(AJ$75&lt;=CNTR_YearMergerSplit,"",INDEX(B_InitialSituation!H$9:H$153,MATCH($R76,B_InitialSituation!$Q$9:$Q$153,0))*$AH76)</f>
        <v>0</v>
      </c>
      <c r="AK76" s="388">
        <f>IF(AK$75&lt;=CNTR_YearMergerSplit,"",INDEX(B_InitialSituation!I$9:I$153,MATCH($R76,B_InitialSituation!$Q$9:$Q$153,0))*$AH76)</f>
        <v>0</v>
      </c>
      <c r="AL76" s="388">
        <f>IF(AL$75&lt;=CNTR_YearMergerSplit,"",INDEX(B_InitialSituation!J$9:J$153,MATCH($R76,B_InitialSituation!$Q$9:$Q$153,0))*$AH76)</f>
        <v>0</v>
      </c>
      <c r="AM76" s="388">
        <f>IF(AM$75&lt;=CNTR_YearMergerSplit,"",INDEX(B_InitialSituation!K$9:K$153,MATCH($R76,B_InitialSituation!$Q$9:$Q$153,0))*$AH76)</f>
        <v>0</v>
      </c>
      <c r="AN76" s="388">
        <f>IF(AN$75&lt;=CNTR_YearMergerSplit,"",INDEX(B_InitialSituation!L$9:L$153,MATCH($R76,B_InitialSituation!$Q$9:$Q$153,0))*$AH76)</f>
        <v>0</v>
      </c>
      <c r="AO76" s="388">
        <f>IF(AO$75&lt;=CNTR_YearMergerSplit,"",INDEX(B_InitialSituation!M$9:M$153,MATCH($R76,B_InitialSituation!$Q$9:$Q$153,0))*$AH76)</f>
        <v>0</v>
      </c>
      <c r="AP76" s="388">
        <f>IF(AP$75&lt;=CNTR_YearMergerSplit,"",INDEX(B_InitialSituation!N$9:N$153,MATCH($R76,B_InitialSituation!$Q$9:$Q$153,0))*$AH76)</f>
        <v>0</v>
      </c>
      <c r="AQ76" s="384"/>
    </row>
    <row r="77" spans="1:43" s="483" customFormat="1" ht="12.75" customHeight="1">
      <c r="A77" s="4"/>
      <c r="B77" s="5"/>
      <c r="C77" s="29">
        <v>1</v>
      </c>
      <c r="D77" s="902">
        <f aca="true" t="shared" si="14" ref="D77:D86">IF(T77="","",T77)</f>
      </c>
      <c r="E77" s="903"/>
      <c r="F77" s="904"/>
      <c r="G77" s="353">
        <f aca="true" t="shared" si="15" ref="G77:G93">IF(SUM(IF(ISERROR(Y77),0,Y77),IF(ISERROR(AI77),0,AI77))=0,"",ROUND(SUM(IF(ISERROR(Y77),0,Y77),IF(ISERROR(AI77),0,AI77)),0))</f>
      </c>
      <c r="H77" s="353">
        <f t="shared" si="5"/>
      </c>
      <c r="I77" s="353">
        <f t="shared" si="6"/>
      </c>
      <c r="J77" s="353">
        <f t="shared" si="7"/>
      </c>
      <c r="K77" s="353">
        <f t="shared" si="8"/>
      </c>
      <c r="L77" s="353">
        <f t="shared" si="9"/>
      </c>
      <c r="M77" s="353">
        <f t="shared" si="10"/>
      </c>
      <c r="N77" s="353">
        <f t="shared" si="11"/>
      </c>
      <c r="O77" s="342"/>
      <c r="P77" s="442"/>
      <c r="Q77" s="412" t="str">
        <f t="shared" si="12"/>
        <v>FInitial_1_</v>
      </c>
      <c r="R77" s="412" t="str">
        <f t="shared" si="13"/>
        <v>FInitial_2_</v>
      </c>
      <c r="S77" s="384"/>
      <c r="T77" s="413">
        <f>IF(COUNTIF(B_InitialSituation!$T$9:$T$153,$C77)=0,"",INDEX(B_InitialSituation!$D$9:$D$153,MATCH($C77,B_InitialSituation!$T$9:$T$153,0)))</f>
      </c>
      <c r="U77" s="384"/>
      <c r="V77" s="414">
        <f aca="true" t="shared" si="16" ref="V77:V93">V76</f>
        <v>1</v>
      </c>
      <c r="W77" s="384"/>
      <c r="X77" s="389">
        <f>INDEX(CHOOSE($V77,C_MergerSplitTransfer!$H$9:$H$68,C_MergerSplitTransfer!$K$9:$K$68),MATCH(Q77,C_MergerSplitTransfer!$T$9:$T$68,0))</f>
        <v>0</v>
      </c>
      <c r="Y77" s="390">
        <f>IF(Y$75&lt;=CNTR_YearMergerSplit,"",INDEX(B_InitialSituation!G$9:G$153,MATCH($Q77,B_InitialSituation!$Q$9:$Q$153,0))*$X77)</f>
        <v>0</v>
      </c>
      <c r="Z77" s="390">
        <f>IF(Z$75&lt;=CNTR_YearMergerSplit,"",INDEX(B_InitialSituation!H$9:H$153,MATCH($Q77,B_InitialSituation!$Q$9:$Q$153,0))*$X77)</f>
        <v>0</v>
      </c>
      <c r="AA77" s="390">
        <f>IF(AA$75&lt;=CNTR_YearMergerSplit,"",INDEX(B_InitialSituation!I$9:I$153,MATCH($Q77,B_InitialSituation!$Q$9:$Q$153,0))*$X77)</f>
        <v>0</v>
      </c>
      <c r="AB77" s="390">
        <f>IF(AB$75&lt;=CNTR_YearMergerSplit,"",INDEX(B_InitialSituation!J$9:J$153,MATCH($Q77,B_InitialSituation!$Q$9:$Q$153,0))*$X77)</f>
        <v>0</v>
      </c>
      <c r="AC77" s="390">
        <f>IF(AC$75&lt;=CNTR_YearMergerSplit,"",INDEX(B_InitialSituation!K$9:K$153,MATCH($Q77,B_InitialSituation!$Q$9:$Q$153,0))*$X77)</f>
        <v>0</v>
      </c>
      <c r="AD77" s="390">
        <f>IF(AD$75&lt;=CNTR_YearMergerSplit,"",INDEX(B_InitialSituation!L$9:L$153,MATCH($Q77,B_InitialSituation!$Q$9:$Q$153,0))*$X77)</f>
        <v>0</v>
      </c>
      <c r="AE77" s="390">
        <f>IF(AE$75&lt;=CNTR_YearMergerSplit,"",INDEX(B_InitialSituation!M$9:M$153,MATCH($Q77,B_InitialSituation!$Q$9:$Q$153,0))*$X77)</f>
        <v>0</v>
      </c>
      <c r="AF77" s="390">
        <f>IF(AF$75&lt;=CNTR_YearMergerSplit,"",INDEX(B_InitialSituation!N$9:N$153,MATCH($Q77,B_InitialSituation!$Q$9:$Q$153,0))*$X77)</f>
        <v>0</v>
      </c>
      <c r="AG77" s="384"/>
      <c r="AH77" s="389">
        <f>INDEX(CHOOSE($V77,C_MergerSplitTransfer!$H$9:$H$68,C_MergerSplitTransfer!$K$9:$K$68),MATCH(R77,C_MergerSplitTransfer!$T$9:$T$68,0))</f>
        <v>0</v>
      </c>
      <c r="AI77" s="390">
        <f>IF(AI$75&lt;=CNTR_YearMergerSplit,"",INDEX(B_InitialSituation!G$9:G$153,MATCH($R77,B_InitialSituation!$Q$9:$Q$153,0))*$AH77)</f>
        <v>0</v>
      </c>
      <c r="AJ77" s="390">
        <f>IF(AJ$75&lt;=CNTR_YearMergerSplit,"",INDEX(B_InitialSituation!H$9:H$153,MATCH($R77,B_InitialSituation!$Q$9:$Q$153,0))*$AH77)</f>
        <v>0</v>
      </c>
      <c r="AK77" s="390">
        <f>IF(AK$75&lt;=CNTR_YearMergerSplit,"",INDEX(B_InitialSituation!I$9:I$153,MATCH($R77,B_InitialSituation!$Q$9:$Q$153,0))*$AH77)</f>
        <v>0</v>
      </c>
      <c r="AL77" s="390">
        <f>IF(AL$75&lt;=CNTR_YearMergerSplit,"",INDEX(B_InitialSituation!J$9:J$153,MATCH($R77,B_InitialSituation!$Q$9:$Q$153,0))*$AH77)</f>
        <v>0</v>
      </c>
      <c r="AM77" s="390">
        <f>IF(AM$75&lt;=CNTR_YearMergerSplit,"",INDEX(B_InitialSituation!K$9:K$153,MATCH($R77,B_InitialSituation!$Q$9:$Q$153,0))*$AH77)</f>
        <v>0</v>
      </c>
      <c r="AN77" s="390">
        <f>IF(AN$75&lt;=CNTR_YearMergerSplit,"",INDEX(B_InitialSituation!L$9:L$153,MATCH($R77,B_InitialSituation!$Q$9:$Q$153,0))*$AH77)</f>
        <v>0</v>
      </c>
      <c r="AO77" s="390">
        <f>IF(AO$75&lt;=CNTR_YearMergerSplit,"",INDEX(B_InitialSituation!M$9:M$153,MATCH($R77,B_InitialSituation!$Q$9:$Q$153,0))*$AH77)</f>
        <v>0</v>
      </c>
      <c r="AP77" s="390">
        <f>IF(AP$75&lt;=CNTR_YearMergerSplit,"",INDEX(B_InitialSituation!N$9:N$153,MATCH($R77,B_InitialSituation!$Q$9:$Q$153,0))*$AH77)</f>
        <v>0</v>
      </c>
      <c r="AQ77" s="384"/>
    </row>
    <row r="78" spans="1:43" s="483" customFormat="1" ht="12.75" customHeight="1">
      <c r="A78" s="4"/>
      <c r="B78" s="5"/>
      <c r="C78" s="29">
        <v>2</v>
      </c>
      <c r="D78" s="877">
        <f t="shared" si="14"/>
      </c>
      <c r="E78" s="878"/>
      <c r="F78" s="879"/>
      <c r="G78" s="354">
        <f t="shared" si="15"/>
      </c>
      <c r="H78" s="354">
        <f t="shared" si="5"/>
      </c>
      <c r="I78" s="354">
        <f t="shared" si="6"/>
      </c>
      <c r="J78" s="354">
        <f t="shared" si="7"/>
      </c>
      <c r="K78" s="354">
        <f t="shared" si="8"/>
      </c>
      <c r="L78" s="354">
        <f t="shared" si="9"/>
      </c>
      <c r="M78" s="354">
        <f t="shared" si="10"/>
      </c>
      <c r="N78" s="354">
        <f t="shared" si="11"/>
      </c>
      <c r="O78" s="288"/>
      <c r="P78" s="286"/>
      <c r="Q78" s="412" t="str">
        <f t="shared" si="12"/>
        <v>FInitial_1_</v>
      </c>
      <c r="R78" s="412" t="str">
        <f t="shared" si="13"/>
        <v>FInitial_2_</v>
      </c>
      <c r="S78" s="384"/>
      <c r="T78" s="414">
        <f>IF(COUNTIF(B_InitialSituation!$T$9:$T$153,$C78)=0,"",INDEX(B_InitialSituation!$D$9:$D$153,MATCH($C78,B_InitialSituation!$T$9:$T$153,0)))</f>
      </c>
      <c r="U78" s="384"/>
      <c r="V78" s="414">
        <f t="shared" si="16"/>
        <v>1</v>
      </c>
      <c r="W78" s="384"/>
      <c r="X78" s="391">
        <f>INDEX(CHOOSE($V78,C_MergerSplitTransfer!$H$9:$H$68,C_MergerSplitTransfer!$K$9:$K$68),MATCH(Q78,C_MergerSplitTransfer!$T$9:$T$68,0))</f>
        <v>0</v>
      </c>
      <c r="Y78" s="392">
        <f>IF(Y$75&lt;=CNTR_YearMergerSplit,"",INDEX(B_InitialSituation!G$9:G$153,MATCH($Q78,B_InitialSituation!$Q$9:$Q$153,0))*$X78)</f>
        <v>0</v>
      </c>
      <c r="Z78" s="392">
        <f>IF(Z$75&lt;=CNTR_YearMergerSplit,"",INDEX(B_InitialSituation!H$9:H$153,MATCH($Q78,B_InitialSituation!$Q$9:$Q$153,0))*$X78)</f>
        <v>0</v>
      </c>
      <c r="AA78" s="392">
        <f>IF(AA$75&lt;=CNTR_YearMergerSplit,"",INDEX(B_InitialSituation!I$9:I$153,MATCH($Q78,B_InitialSituation!$Q$9:$Q$153,0))*$X78)</f>
        <v>0</v>
      </c>
      <c r="AB78" s="392">
        <f>IF(AB$75&lt;=CNTR_YearMergerSplit,"",INDEX(B_InitialSituation!J$9:J$153,MATCH($Q78,B_InitialSituation!$Q$9:$Q$153,0))*$X78)</f>
        <v>0</v>
      </c>
      <c r="AC78" s="392">
        <f>IF(AC$75&lt;=CNTR_YearMergerSplit,"",INDEX(B_InitialSituation!K$9:K$153,MATCH($Q78,B_InitialSituation!$Q$9:$Q$153,0))*$X78)</f>
        <v>0</v>
      </c>
      <c r="AD78" s="392">
        <f>IF(AD$75&lt;=CNTR_YearMergerSplit,"",INDEX(B_InitialSituation!L$9:L$153,MATCH($Q78,B_InitialSituation!$Q$9:$Q$153,0))*$X78)</f>
        <v>0</v>
      </c>
      <c r="AE78" s="392">
        <f>IF(AE$75&lt;=CNTR_YearMergerSplit,"",INDEX(B_InitialSituation!M$9:M$153,MATCH($Q78,B_InitialSituation!$Q$9:$Q$153,0))*$X78)</f>
        <v>0</v>
      </c>
      <c r="AF78" s="392">
        <f>IF(AF$75&lt;=CNTR_YearMergerSplit,"",INDEX(B_InitialSituation!N$9:N$153,MATCH($Q78,B_InitialSituation!$Q$9:$Q$153,0))*$X78)</f>
        <v>0</v>
      </c>
      <c r="AG78" s="384"/>
      <c r="AH78" s="391">
        <f>INDEX(CHOOSE($V78,C_MergerSplitTransfer!$H$9:$H$68,C_MergerSplitTransfer!$K$9:$K$68),MATCH(R78,C_MergerSplitTransfer!$T$9:$T$68,0))</f>
        <v>0</v>
      </c>
      <c r="AI78" s="392">
        <f>IF(AI$75&lt;=CNTR_YearMergerSplit,"",INDEX(B_InitialSituation!G$9:G$153,MATCH($R78,B_InitialSituation!$Q$9:$Q$153,0))*$AH78)</f>
        <v>0</v>
      </c>
      <c r="AJ78" s="392">
        <f>IF(AJ$75&lt;=CNTR_YearMergerSplit,"",INDEX(B_InitialSituation!H$9:H$153,MATCH($R78,B_InitialSituation!$Q$9:$Q$153,0))*$AH78)</f>
        <v>0</v>
      </c>
      <c r="AK78" s="392">
        <f>IF(AK$75&lt;=CNTR_YearMergerSplit,"",INDEX(B_InitialSituation!I$9:I$153,MATCH($R78,B_InitialSituation!$Q$9:$Q$153,0))*$AH78)</f>
        <v>0</v>
      </c>
      <c r="AL78" s="392">
        <f>IF(AL$75&lt;=CNTR_YearMergerSplit,"",INDEX(B_InitialSituation!J$9:J$153,MATCH($R78,B_InitialSituation!$Q$9:$Q$153,0))*$AH78)</f>
        <v>0</v>
      </c>
      <c r="AM78" s="392">
        <f>IF(AM$75&lt;=CNTR_YearMergerSplit,"",INDEX(B_InitialSituation!K$9:K$153,MATCH($R78,B_InitialSituation!$Q$9:$Q$153,0))*$AH78)</f>
        <v>0</v>
      </c>
      <c r="AN78" s="392">
        <f>IF(AN$75&lt;=CNTR_YearMergerSplit,"",INDEX(B_InitialSituation!L$9:L$153,MATCH($R78,B_InitialSituation!$Q$9:$Q$153,0))*$AH78)</f>
        <v>0</v>
      </c>
      <c r="AO78" s="392">
        <f>IF(AO$75&lt;=CNTR_YearMergerSplit,"",INDEX(B_InitialSituation!M$9:M$153,MATCH($R78,B_InitialSituation!$Q$9:$Q$153,0))*$AH78)</f>
        <v>0</v>
      </c>
      <c r="AP78" s="392">
        <f>IF(AP$75&lt;=CNTR_YearMergerSplit,"",INDEX(B_InitialSituation!N$9:N$153,MATCH($R78,B_InitialSituation!$Q$9:$Q$153,0))*$AH78)</f>
        <v>0</v>
      </c>
      <c r="AQ78" s="384"/>
    </row>
    <row r="79" spans="1:43" s="483" customFormat="1" ht="12.75" customHeight="1">
      <c r="A79" s="4"/>
      <c r="B79" s="5"/>
      <c r="C79" s="29">
        <v>3</v>
      </c>
      <c r="D79" s="877">
        <f t="shared" si="14"/>
      </c>
      <c r="E79" s="878"/>
      <c r="F79" s="879"/>
      <c r="G79" s="354">
        <f t="shared" si="15"/>
      </c>
      <c r="H79" s="354">
        <f t="shared" si="5"/>
      </c>
      <c r="I79" s="354">
        <f t="shared" si="6"/>
      </c>
      <c r="J79" s="354">
        <f t="shared" si="7"/>
      </c>
      <c r="K79" s="354">
        <f t="shared" si="8"/>
      </c>
      <c r="L79" s="354">
        <f t="shared" si="9"/>
      </c>
      <c r="M79" s="354">
        <f t="shared" si="10"/>
      </c>
      <c r="N79" s="354">
        <f t="shared" si="11"/>
      </c>
      <c r="O79" s="288"/>
      <c r="P79" s="286"/>
      <c r="Q79" s="412" t="str">
        <f t="shared" si="12"/>
        <v>FInitial_1_</v>
      </c>
      <c r="R79" s="412" t="str">
        <f t="shared" si="13"/>
        <v>FInitial_2_</v>
      </c>
      <c r="S79" s="384"/>
      <c r="T79" s="414">
        <f>IF(COUNTIF(B_InitialSituation!$T$9:$T$153,$C79)=0,"",INDEX(B_InitialSituation!$D$9:$D$153,MATCH($C79,B_InitialSituation!$T$9:$T$153,0)))</f>
      </c>
      <c r="U79" s="384"/>
      <c r="V79" s="414">
        <f t="shared" si="16"/>
        <v>1</v>
      </c>
      <c r="W79" s="384"/>
      <c r="X79" s="391">
        <f>INDEX(CHOOSE($V79,C_MergerSplitTransfer!$H$9:$H$68,C_MergerSplitTransfer!$K$9:$K$68),MATCH(Q79,C_MergerSplitTransfer!$T$9:$T$68,0))</f>
        <v>0</v>
      </c>
      <c r="Y79" s="392">
        <f>IF(Y$75&lt;=CNTR_YearMergerSplit,"",INDEX(B_InitialSituation!G$9:G$153,MATCH($Q79,B_InitialSituation!$Q$9:$Q$153,0))*$X79)</f>
        <v>0</v>
      </c>
      <c r="Z79" s="392">
        <f>IF(Z$75&lt;=CNTR_YearMergerSplit,"",INDEX(B_InitialSituation!H$9:H$153,MATCH($Q79,B_InitialSituation!$Q$9:$Q$153,0))*$X79)</f>
        <v>0</v>
      </c>
      <c r="AA79" s="392">
        <f>IF(AA$75&lt;=CNTR_YearMergerSplit,"",INDEX(B_InitialSituation!I$9:I$153,MATCH($Q79,B_InitialSituation!$Q$9:$Q$153,0))*$X79)</f>
        <v>0</v>
      </c>
      <c r="AB79" s="392">
        <f>IF(AB$75&lt;=CNTR_YearMergerSplit,"",INDEX(B_InitialSituation!J$9:J$153,MATCH($Q79,B_InitialSituation!$Q$9:$Q$153,0))*$X79)</f>
        <v>0</v>
      </c>
      <c r="AC79" s="392">
        <f>IF(AC$75&lt;=CNTR_YearMergerSplit,"",INDEX(B_InitialSituation!K$9:K$153,MATCH($Q79,B_InitialSituation!$Q$9:$Q$153,0))*$X79)</f>
        <v>0</v>
      </c>
      <c r="AD79" s="392">
        <f>IF(AD$75&lt;=CNTR_YearMergerSplit,"",INDEX(B_InitialSituation!L$9:L$153,MATCH($Q79,B_InitialSituation!$Q$9:$Q$153,0))*$X79)</f>
        <v>0</v>
      </c>
      <c r="AE79" s="392">
        <f>IF(AE$75&lt;=CNTR_YearMergerSplit,"",INDEX(B_InitialSituation!M$9:M$153,MATCH($Q79,B_InitialSituation!$Q$9:$Q$153,0))*$X79)</f>
        <v>0</v>
      </c>
      <c r="AF79" s="392">
        <f>IF(AF$75&lt;=CNTR_YearMergerSplit,"",INDEX(B_InitialSituation!N$9:N$153,MATCH($Q79,B_InitialSituation!$Q$9:$Q$153,0))*$X79)</f>
        <v>0</v>
      </c>
      <c r="AG79" s="384"/>
      <c r="AH79" s="391">
        <f>INDEX(CHOOSE($V79,C_MergerSplitTransfer!$H$9:$H$68,C_MergerSplitTransfer!$K$9:$K$68),MATCH(R79,C_MergerSplitTransfer!$T$9:$T$68,0))</f>
        <v>0</v>
      </c>
      <c r="AI79" s="392">
        <f>IF(AI$75&lt;=CNTR_YearMergerSplit,"",INDEX(B_InitialSituation!G$9:G$153,MATCH($R79,B_InitialSituation!$Q$9:$Q$153,0))*$AH79)</f>
        <v>0</v>
      </c>
      <c r="AJ79" s="392">
        <f>IF(AJ$75&lt;=CNTR_YearMergerSplit,"",INDEX(B_InitialSituation!H$9:H$153,MATCH($R79,B_InitialSituation!$Q$9:$Q$153,0))*$AH79)</f>
        <v>0</v>
      </c>
      <c r="AK79" s="392">
        <f>IF(AK$75&lt;=CNTR_YearMergerSplit,"",INDEX(B_InitialSituation!I$9:I$153,MATCH($R79,B_InitialSituation!$Q$9:$Q$153,0))*$AH79)</f>
        <v>0</v>
      </c>
      <c r="AL79" s="392">
        <f>IF(AL$75&lt;=CNTR_YearMergerSplit,"",INDEX(B_InitialSituation!J$9:J$153,MATCH($R79,B_InitialSituation!$Q$9:$Q$153,0))*$AH79)</f>
        <v>0</v>
      </c>
      <c r="AM79" s="392">
        <f>IF(AM$75&lt;=CNTR_YearMergerSplit,"",INDEX(B_InitialSituation!K$9:K$153,MATCH($R79,B_InitialSituation!$Q$9:$Q$153,0))*$AH79)</f>
        <v>0</v>
      </c>
      <c r="AN79" s="392">
        <f>IF(AN$75&lt;=CNTR_YearMergerSplit,"",INDEX(B_InitialSituation!L$9:L$153,MATCH($R79,B_InitialSituation!$Q$9:$Q$153,0))*$AH79)</f>
        <v>0</v>
      </c>
      <c r="AO79" s="392">
        <f>IF(AO$75&lt;=CNTR_YearMergerSplit,"",INDEX(B_InitialSituation!M$9:M$153,MATCH($R79,B_InitialSituation!$Q$9:$Q$153,0))*$AH79)</f>
        <v>0</v>
      </c>
      <c r="AP79" s="392">
        <f>IF(AP$75&lt;=CNTR_YearMergerSplit,"",INDEX(B_InitialSituation!N$9:N$153,MATCH($R79,B_InitialSituation!$Q$9:$Q$153,0))*$AH79)</f>
        <v>0</v>
      </c>
      <c r="AQ79" s="384"/>
    </row>
    <row r="80" spans="1:43" s="483" customFormat="1" ht="12.75" customHeight="1">
      <c r="A80" s="4"/>
      <c r="B80" s="5"/>
      <c r="C80" s="29">
        <v>4</v>
      </c>
      <c r="D80" s="877">
        <f t="shared" si="14"/>
      </c>
      <c r="E80" s="878"/>
      <c r="F80" s="879"/>
      <c r="G80" s="354">
        <f t="shared" si="15"/>
      </c>
      <c r="H80" s="354">
        <f t="shared" si="5"/>
      </c>
      <c r="I80" s="354">
        <f t="shared" si="6"/>
      </c>
      <c r="J80" s="354">
        <f t="shared" si="7"/>
      </c>
      <c r="K80" s="354">
        <f t="shared" si="8"/>
      </c>
      <c r="L80" s="354">
        <f t="shared" si="9"/>
      </c>
      <c r="M80" s="354">
        <f t="shared" si="10"/>
      </c>
      <c r="N80" s="354">
        <f t="shared" si="11"/>
      </c>
      <c r="O80" s="288"/>
      <c r="P80" s="286"/>
      <c r="Q80" s="412" t="str">
        <f t="shared" si="12"/>
        <v>FInitial_1_</v>
      </c>
      <c r="R80" s="412" t="str">
        <f t="shared" si="13"/>
        <v>FInitial_2_</v>
      </c>
      <c r="S80" s="384"/>
      <c r="T80" s="414">
        <f>IF(COUNTIF(B_InitialSituation!$T$9:$T$153,$C80)=0,"",INDEX(B_InitialSituation!$D$9:$D$153,MATCH($C80,B_InitialSituation!$T$9:$T$153,0)))</f>
      </c>
      <c r="U80" s="384"/>
      <c r="V80" s="414">
        <f t="shared" si="16"/>
        <v>1</v>
      </c>
      <c r="W80" s="384"/>
      <c r="X80" s="391">
        <f>INDEX(CHOOSE($V80,C_MergerSplitTransfer!$H$9:$H$68,C_MergerSplitTransfer!$K$9:$K$68),MATCH(Q80,C_MergerSplitTransfer!$T$9:$T$68,0))</f>
        <v>0</v>
      </c>
      <c r="Y80" s="392">
        <f>IF(Y$75&lt;=CNTR_YearMergerSplit,"",INDEX(B_InitialSituation!G$9:G$153,MATCH($Q80,B_InitialSituation!$Q$9:$Q$153,0))*$X80)</f>
        <v>0</v>
      </c>
      <c r="Z80" s="392">
        <f>IF(Z$75&lt;=CNTR_YearMergerSplit,"",INDEX(B_InitialSituation!H$9:H$153,MATCH($Q80,B_InitialSituation!$Q$9:$Q$153,0))*$X80)</f>
        <v>0</v>
      </c>
      <c r="AA80" s="392">
        <f>IF(AA$75&lt;=CNTR_YearMergerSplit,"",INDEX(B_InitialSituation!I$9:I$153,MATCH($Q80,B_InitialSituation!$Q$9:$Q$153,0))*$X80)</f>
        <v>0</v>
      </c>
      <c r="AB80" s="392">
        <f>IF(AB$75&lt;=CNTR_YearMergerSplit,"",INDEX(B_InitialSituation!J$9:J$153,MATCH($Q80,B_InitialSituation!$Q$9:$Q$153,0))*$X80)</f>
        <v>0</v>
      </c>
      <c r="AC80" s="392">
        <f>IF(AC$75&lt;=CNTR_YearMergerSplit,"",INDEX(B_InitialSituation!K$9:K$153,MATCH($Q80,B_InitialSituation!$Q$9:$Q$153,0))*$X80)</f>
        <v>0</v>
      </c>
      <c r="AD80" s="392">
        <f>IF(AD$75&lt;=CNTR_YearMergerSplit,"",INDEX(B_InitialSituation!L$9:L$153,MATCH($Q80,B_InitialSituation!$Q$9:$Q$153,0))*$X80)</f>
        <v>0</v>
      </c>
      <c r="AE80" s="392">
        <f>IF(AE$75&lt;=CNTR_YearMergerSplit,"",INDEX(B_InitialSituation!M$9:M$153,MATCH($Q80,B_InitialSituation!$Q$9:$Q$153,0))*$X80)</f>
        <v>0</v>
      </c>
      <c r="AF80" s="392">
        <f>IF(AF$75&lt;=CNTR_YearMergerSplit,"",INDEX(B_InitialSituation!N$9:N$153,MATCH($Q80,B_InitialSituation!$Q$9:$Q$153,0))*$X80)</f>
        <v>0</v>
      </c>
      <c r="AG80" s="384"/>
      <c r="AH80" s="391">
        <f>INDEX(CHOOSE($V80,C_MergerSplitTransfer!$H$9:$H$68,C_MergerSplitTransfer!$K$9:$K$68),MATCH(R80,C_MergerSplitTransfer!$T$9:$T$68,0))</f>
        <v>0</v>
      </c>
      <c r="AI80" s="392">
        <f>IF(AI$75&lt;=CNTR_YearMergerSplit,"",INDEX(B_InitialSituation!G$9:G$153,MATCH($R80,B_InitialSituation!$Q$9:$Q$153,0))*$AH80)</f>
        <v>0</v>
      </c>
      <c r="AJ80" s="392">
        <f>IF(AJ$75&lt;=CNTR_YearMergerSplit,"",INDEX(B_InitialSituation!H$9:H$153,MATCH($R80,B_InitialSituation!$Q$9:$Q$153,0))*$AH80)</f>
        <v>0</v>
      </c>
      <c r="AK80" s="392">
        <f>IF(AK$75&lt;=CNTR_YearMergerSplit,"",INDEX(B_InitialSituation!I$9:I$153,MATCH($R80,B_InitialSituation!$Q$9:$Q$153,0))*$AH80)</f>
        <v>0</v>
      </c>
      <c r="AL80" s="392">
        <f>IF(AL$75&lt;=CNTR_YearMergerSplit,"",INDEX(B_InitialSituation!J$9:J$153,MATCH($R80,B_InitialSituation!$Q$9:$Q$153,0))*$AH80)</f>
        <v>0</v>
      </c>
      <c r="AM80" s="392">
        <f>IF(AM$75&lt;=CNTR_YearMergerSplit,"",INDEX(B_InitialSituation!K$9:K$153,MATCH($R80,B_InitialSituation!$Q$9:$Q$153,0))*$AH80)</f>
        <v>0</v>
      </c>
      <c r="AN80" s="392">
        <f>IF(AN$75&lt;=CNTR_YearMergerSplit,"",INDEX(B_InitialSituation!L$9:L$153,MATCH($R80,B_InitialSituation!$Q$9:$Q$153,0))*$AH80)</f>
        <v>0</v>
      </c>
      <c r="AO80" s="392">
        <f>IF(AO$75&lt;=CNTR_YearMergerSplit,"",INDEX(B_InitialSituation!M$9:M$153,MATCH($R80,B_InitialSituation!$Q$9:$Q$153,0))*$AH80)</f>
        <v>0</v>
      </c>
      <c r="AP80" s="392">
        <f>IF(AP$75&lt;=CNTR_YearMergerSplit,"",INDEX(B_InitialSituation!N$9:N$153,MATCH($R80,B_InitialSituation!$Q$9:$Q$153,0))*$AH80)</f>
        <v>0</v>
      </c>
      <c r="AQ80" s="384"/>
    </row>
    <row r="81" spans="1:43" s="483" customFormat="1" ht="12.75" customHeight="1">
      <c r="A81" s="4"/>
      <c r="B81" s="5"/>
      <c r="C81" s="29">
        <v>5</v>
      </c>
      <c r="D81" s="877">
        <f t="shared" si="14"/>
      </c>
      <c r="E81" s="878"/>
      <c r="F81" s="879"/>
      <c r="G81" s="354">
        <f t="shared" si="15"/>
      </c>
      <c r="H81" s="354">
        <f t="shared" si="5"/>
      </c>
      <c r="I81" s="354">
        <f t="shared" si="6"/>
      </c>
      <c r="J81" s="354">
        <f t="shared" si="7"/>
      </c>
      <c r="K81" s="354">
        <f t="shared" si="8"/>
      </c>
      <c r="L81" s="354">
        <f t="shared" si="9"/>
      </c>
      <c r="M81" s="354">
        <f t="shared" si="10"/>
      </c>
      <c r="N81" s="354">
        <f t="shared" si="11"/>
      </c>
      <c r="O81" s="288"/>
      <c r="P81" s="286"/>
      <c r="Q81" s="412" t="str">
        <f t="shared" si="12"/>
        <v>FInitial_1_</v>
      </c>
      <c r="R81" s="412" t="str">
        <f t="shared" si="13"/>
        <v>FInitial_2_</v>
      </c>
      <c r="S81" s="384"/>
      <c r="T81" s="414">
        <f>IF(COUNTIF(B_InitialSituation!$T$9:$T$153,$C81)=0,"",INDEX(B_InitialSituation!$D$9:$D$153,MATCH($C81,B_InitialSituation!$T$9:$T$153,0)))</f>
      </c>
      <c r="U81" s="384"/>
      <c r="V81" s="414">
        <f t="shared" si="16"/>
        <v>1</v>
      </c>
      <c r="W81" s="384"/>
      <c r="X81" s="391">
        <f>INDEX(CHOOSE($V81,C_MergerSplitTransfer!$H$9:$H$68,C_MergerSplitTransfer!$K$9:$K$68),MATCH(Q81,C_MergerSplitTransfer!$T$9:$T$68,0))</f>
        <v>0</v>
      </c>
      <c r="Y81" s="392">
        <f>IF(Y$75&lt;=CNTR_YearMergerSplit,"",INDEX(B_InitialSituation!G$9:G$153,MATCH($Q81,B_InitialSituation!$Q$9:$Q$153,0))*$X81)</f>
        <v>0</v>
      </c>
      <c r="Z81" s="392">
        <f>IF(Z$75&lt;=CNTR_YearMergerSplit,"",INDEX(B_InitialSituation!H$9:H$153,MATCH($Q81,B_InitialSituation!$Q$9:$Q$153,0))*$X81)</f>
        <v>0</v>
      </c>
      <c r="AA81" s="392">
        <f>IF(AA$75&lt;=CNTR_YearMergerSplit,"",INDEX(B_InitialSituation!I$9:I$153,MATCH($Q81,B_InitialSituation!$Q$9:$Q$153,0))*$X81)</f>
        <v>0</v>
      </c>
      <c r="AB81" s="392">
        <f>IF(AB$75&lt;=CNTR_YearMergerSplit,"",INDEX(B_InitialSituation!J$9:J$153,MATCH($Q81,B_InitialSituation!$Q$9:$Q$153,0))*$X81)</f>
        <v>0</v>
      </c>
      <c r="AC81" s="392">
        <f>IF(AC$75&lt;=CNTR_YearMergerSplit,"",INDEX(B_InitialSituation!K$9:K$153,MATCH($Q81,B_InitialSituation!$Q$9:$Q$153,0))*$X81)</f>
        <v>0</v>
      </c>
      <c r="AD81" s="392">
        <f>IF(AD$75&lt;=CNTR_YearMergerSplit,"",INDEX(B_InitialSituation!L$9:L$153,MATCH($Q81,B_InitialSituation!$Q$9:$Q$153,0))*$X81)</f>
        <v>0</v>
      </c>
      <c r="AE81" s="392">
        <f>IF(AE$75&lt;=CNTR_YearMergerSplit,"",INDEX(B_InitialSituation!M$9:M$153,MATCH($Q81,B_InitialSituation!$Q$9:$Q$153,0))*$X81)</f>
        <v>0</v>
      </c>
      <c r="AF81" s="392">
        <f>IF(AF$75&lt;=CNTR_YearMergerSplit,"",INDEX(B_InitialSituation!N$9:N$153,MATCH($Q81,B_InitialSituation!$Q$9:$Q$153,0))*$X81)</f>
        <v>0</v>
      </c>
      <c r="AG81" s="384"/>
      <c r="AH81" s="391">
        <f>INDEX(CHOOSE($V81,C_MergerSplitTransfer!$H$9:$H$68,C_MergerSplitTransfer!$K$9:$K$68),MATCH(R81,C_MergerSplitTransfer!$T$9:$T$68,0))</f>
        <v>0</v>
      </c>
      <c r="AI81" s="392">
        <f>IF(AI$75&lt;=CNTR_YearMergerSplit,"",INDEX(B_InitialSituation!G$9:G$153,MATCH($R81,B_InitialSituation!$Q$9:$Q$153,0))*$AH81)</f>
        <v>0</v>
      </c>
      <c r="AJ81" s="392">
        <f>IF(AJ$75&lt;=CNTR_YearMergerSplit,"",INDEX(B_InitialSituation!H$9:H$153,MATCH($R81,B_InitialSituation!$Q$9:$Q$153,0))*$AH81)</f>
        <v>0</v>
      </c>
      <c r="AK81" s="392">
        <f>IF(AK$75&lt;=CNTR_YearMergerSplit,"",INDEX(B_InitialSituation!I$9:I$153,MATCH($R81,B_InitialSituation!$Q$9:$Q$153,0))*$AH81)</f>
        <v>0</v>
      </c>
      <c r="AL81" s="392">
        <f>IF(AL$75&lt;=CNTR_YearMergerSplit,"",INDEX(B_InitialSituation!J$9:J$153,MATCH($R81,B_InitialSituation!$Q$9:$Q$153,0))*$AH81)</f>
        <v>0</v>
      </c>
      <c r="AM81" s="392">
        <f>IF(AM$75&lt;=CNTR_YearMergerSplit,"",INDEX(B_InitialSituation!K$9:K$153,MATCH($R81,B_InitialSituation!$Q$9:$Q$153,0))*$AH81)</f>
        <v>0</v>
      </c>
      <c r="AN81" s="392">
        <f>IF(AN$75&lt;=CNTR_YearMergerSplit,"",INDEX(B_InitialSituation!L$9:L$153,MATCH($R81,B_InitialSituation!$Q$9:$Q$153,0))*$AH81)</f>
        <v>0</v>
      </c>
      <c r="AO81" s="392">
        <f>IF(AO$75&lt;=CNTR_YearMergerSplit,"",INDEX(B_InitialSituation!M$9:M$153,MATCH($R81,B_InitialSituation!$Q$9:$Q$153,0))*$AH81)</f>
        <v>0</v>
      </c>
      <c r="AP81" s="392">
        <f>IF(AP$75&lt;=CNTR_YearMergerSplit,"",INDEX(B_InitialSituation!N$9:N$153,MATCH($R81,B_InitialSituation!$Q$9:$Q$153,0))*$AH81)</f>
        <v>0</v>
      </c>
      <c r="AQ81" s="384"/>
    </row>
    <row r="82" spans="1:43" s="483" customFormat="1" ht="12.75" customHeight="1">
      <c r="A82" s="4"/>
      <c r="B82" s="5"/>
      <c r="C82" s="29">
        <v>6</v>
      </c>
      <c r="D82" s="877">
        <f t="shared" si="14"/>
      </c>
      <c r="E82" s="878"/>
      <c r="F82" s="879"/>
      <c r="G82" s="354">
        <f t="shared" si="15"/>
      </c>
      <c r="H82" s="354">
        <f t="shared" si="5"/>
      </c>
      <c r="I82" s="354">
        <f t="shared" si="6"/>
      </c>
      <c r="J82" s="354">
        <f t="shared" si="7"/>
      </c>
      <c r="K82" s="354">
        <f t="shared" si="8"/>
      </c>
      <c r="L82" s="354">
        <f t="shared" si="9"/>
      </c>
      <c r="M82" s="354">
        <f t="shared" si="10"/>
      </c>
      <c r="N82" s="354">
        <f t="shared" si="11"/>
      </c>
      <c r="O82" s="288"/>
      <c r="P82" s="9"/>
      <c r="Q82" s="412" t="str">
        <f t="shared" si="12"/>
        <v>FInitial_1_</v>
      </c>
      <c r="R82" s="412" t="str">
        <f t="shared" si="13"/>
        <v>FInitial_2_</v>
      </c>
      <c r="S82" s="384"/>
      <c r="T82" s="414">
        <f>IF(COUNTIF(B_InitialSituation!$T$9:$T$153,$C82)=0,"",INDEX(B_InitialSituation!$D$9:$D$153,MATCH($C82,B_InitialSituation!$T$9:$T$153,0)))</f>
      </c>
      <c r="U82" s="384"/>
      <c r="V82" s="414">
        <f t="shared" si="16"/>
        <v>1</v>
      </c>
      <c r="W82" s="384"/>
      <c r="X82" s="391">
        <f>INDEX(CHOOSE($V82,C_MergerSplitTransfer!$H$9:$H$68,C_MergerSplitTransfer!$K$9:$K$68),MATCH(Q82,C_MergerSplitTransfer!$T$9:$T$68,0))</f>
        <v>0</v>
      </c>
      <c r="Y82" s="392">
        <f>IF(Y$75&lt;=CNTR_YearMergerSplit,"",INDEX(B_InitialSituation!G$9:G$153,MATCH($Q82,B_InitialSituation!$Q$9:$Q$153,0))*$X82)</f>
        <v>0</v>
      </c>
      <c r="Z82" s="392">
        <f>IF(Z$75&lt;=CNTR_YearMergerSplit,"",INDEX(B_InitialSituation!H$9:H$153,MATCH($Q82,B_InitialSituation!$Q$9:$Q$153,0))*$X82)</f>
        <v>0</v>
      </c>
      <c r="AA82" s="392">
        <f>IF(AA$75&lt;=CNTR_YearMergerSplit,"",INDEX(B_InitialSituation!I$9:I$153,MATCH($Q82,B_InitialSituation!$Q$9:$Q$153,0))*$X82)</f>
        <v>0</v>
      </c>
      <c r="AB82" s="392">
        <f>IF(AB$75&lt;=CNTR_YearMergerSplit,"",INDEX(B_InitialSituation!J$9:J$153,MATCH($Q82,B_InitialSituation!$Q$9:$Q$153,0))*$X82)</f>
        <v>0</v>
      </c>
      <c r="AC82" s="392">
        <f>IF(AC$75&lt;=CNTR_YearMergerSplit,"",INDEX(B_InitialSituation!K$9:K$153,MATCH($Q82,B_InitialSituation!$Q$9:$Q$153,0))*$X82)</f>
        <v>0</v>
      </c>
      <c r="AD82" s="392">
        <f>IF(AD$75&lt;=CNTR_YearMergerSplit,"",INDEX(B_InitialSituation!L$9:L$153,MATCH($Q82,B_InitialSituation!$Q$9:$Q$153,0))*$X82)</f>
        <v>0</v>
      </c>
      <c r="AE82" s="392">
        <f>IF(AE$75&lt;=CNTR_YearMergerSplit,"",INDEX(B_InitialSituation!M$9:M$153,MATCH($Q82,B_InitialSituation!$Q$9:$Q$153,0))*$X82)</f>
        <v>0</v>
      </c>
      <c r="AF82" s="392">
        <f>IF(AF$75&lt;=CNTR_YearMergerSplit,"",INDEX(B_InitialSituation!N$9:N$153,MATCH($Q82,B_InitialSituation!$Q$9:$Q$153,0))*$X82)</f>
        <v>0</v>
      </c>
      <c r="AG82" s="384"/>
      <c r="AH82" s="391">
        <f>INDEX(CHOOSE($V82,C_MergerSplitTransfer!$H$9:$H$68,C_MergerSplitTransfer!$K$9:$K$68),MATCH(R82,C_MergerSplitTransfer!$T$9:$T$68,0))</f>
        <v>0</v>
      </c>
      <c r="AI82" s="392">
        <f>IF(AI$75&lt;=CNTR_YearMergerSplit,"",INDEX(B_InitialSituation!G$9:G$153,MATCH($R82,B_InitialSituation!$Q$9:$Q$153,0))*$AH82)</f>
        <v>0</v>
      </c>
      <c r="AJ82" s="392">
        <f>IF(AJ$75&lt;=CNTR_YearMergerSplit,"",INDEX(B_InitialSituation!H$9:H$153,MATCH($R82,B_InitialSituation!$Q$9:$Q$153,0))*$AH82)</f>
        <v>0</v>
      </c>
      <c r="AK82" s="392">
        <f>IF(AK$75&lt;=CNTR_YearMergerSplit,"",INDEX(B_InitialSituation!I$9:I$153,MATCH($R82,B_InitialSituation!$Q$9:$Q$153,0))*$AH82)</f>
        <v>0</v>
      </c>
      <c r="AL82" s="392">
        <f>IF(AL$75&lt;=CNTR_YearMergerSplit,"",INDEX(B_InitialSituation!J$9:J$153,MATCH($R82,B_InitialSituation!$Q$9:$Q$153,0))*$AH82)</f>
        <v>0</v>
      </c>
      <c r="AM82" s="392">
        <f>IF(AM$75&lt;=CNTR_YearMergerSplit,"",INDEX(B_InitialSituation!K$9:K$153,MATCH($R82,B_InitialSituation!$Q$9:$Q$153,0))*$AH82)</f>
        <v>0</v>
      </c>
      <c r="AN82" s="392">
        <f>IF(AN$75&lt;=CNTR_YearMergerSplit,"",INDEX(B_InitialSituation!L$9:L$153,MATCH($R82,B_InitialSituation!$Q$9:$Q$153,0))*$AH82)</f>
        <v>0</v>
      </c>
      <c r="AO82" s="392">
        <f>IF(AO$75&lt;=CNTR_YearMergerSplit,"",INDEX(B_InitialSituation!M$9:M$153,MATCH($R82,B_InitialSituation!$Q$9:$Q$153,0))*$AH82)</f>
        <v>0</v>
      </c>
      <c r="AP82" s="392">
        <f>IF(AP$75&lt;=CNTR_YearMergerSplit,"",INDEX(B_InitialSituation!N$9:N$153,MATCH($R82,B_InitialSituation!$Q$9:$Q$153,0))*$AH82)</f>
        <v>0</v>
      </c>
      <c r="AQ82" s="384"/>
    </row>
    <row r="83" spans="1:43" s="483" customFormat="1" ht="12.75" customHeight="1">
      <c r="A83" s="4"/>
      <c r="B83" s="5"/>
      <c r="C83" s="29">
        <v>7</v>
      </c>
      <c r="D83" s="877">
        <f t="shared" si="14"/>
      </c>
      <c r="E83" s="878"/>
      <c r="F83" s="879"/>
      <c r="G83" s="354">
        <f t="shared" si="15"/>
      </c>
      <c r="H83" s="354">
        <f t="shared" si="5"/>
      </c>
      <c r="I83" s="354">
        <f t="shared" si="6"/>
      </c>
      <c r="J83" s="354">
        <f t="shared" si="7"/>
      </c>
      <c r="K83" s="354">
        <f t="shared" si="8"/>
      </c>
      <c r="L83" s="354">
        <f t="shared" si="9"/>
      </c>
      <c r="M83" s="354">
        <f t="shared" si="10"/>
      </c>
      <c r="N83" s="354">
        <f t="shared" si="11"/>
      </c>
      <c r="O83" s="288"/>
      <c r="P83" s="9"/>
      <c r="Q83" s="412" t="str">
        <f t="shared" si="12"/>
        <v>FInitial_1_</v>
      </c>
      <c r="R83" s="412" t="str">
        <f t="shared" si="13"/>
        <v>FInitial_2_</v>
      </c>
      <c r="S83" s="384"/>
      <c r="T83" s="414">
        <f>IF(COUNTIF(B_InitialSituation!$T$9:$T$153,$C83)=0,"",INDEX(B_InitialSituation!$D$9:$D$153,MATCH($C83,B_InitialSituation!$T$9:$T$153,0)))</f>
      </c>
      <c r="U83" s="384"/>
      <c r="V83" s="414">
        <f t="shared" si="16"/>
        <v>1</v>
      </c>
      <c r="W83" s="384"/>
      <c r="X83" s="391">
        <f>INDEX(CHOOSE($V83,C_MergerSplitTransfer!$H$9:$H$68,C_MergerSplitTransfer!$K$9:$K$68),MATCH(Q83,C_MergerSplitTransfer!$T$9:$T$68,0))</f>
        <v>0</v>
      </c>
      <c r="Y83" s="392">
        <f>IF(Y$75&lt;=CNTR_YearMergerSplit,"",INDEX(B_InitialSituation!G$9:G$153,MATCH($Q83,B_InitialSituation!$Q$9:$Q$153,0))*$X83)</f>
        <v>0</v>
      </c>
      <c r="Z83" s="392">
        <f>IF(Z$75&lt;=CNTR_YearMergerSplit,"",INDEX(B_InitialSituation!H$9:H$153,MATCH($Q83,B_InitialSituation!$Q$9:$Q$153,0))*$X83)</f>
        <v>0</v>
      </c>
      <c r="AA83" s="392">
        <f>IF(AA$75&lt;=CNTR_YearMergerSplit,"",INDEX(B_InitialSituation!I$9:I$153,MATCH($Q83,B_InitialSituation!$Q$9:$Q$153,0))*$X83)</f>
        <v>0</v>
      </c>
      <c r="AB83" s="392">
        <f>IF(AB$75&lt;=CNTR_YearMergerSplit,"",INDEX(B_InitialSituation!J$9:J$153,MATCH($Q83,B_InitialSituation!$Q$9:$Q$153,0))*$X83)</f>
        <v>0</v>
      </c>
      <c r="AC83" s="392">
        <f>IF(AC$75&lt;=CNTR_YearMergerSplit,"",INDEX(B_InitialSituation!K$9:K$153,MATCH($Q83,B_InitialSituation!$Q$9:$Q$153,0))*$X83)</f>
        <v>0</v>
      </c>
      <c r="AD83" s="392">
        <f>IF(AD$75&lt;=CNTR_YearMergerSplit,"",INDEX(B_InitialSituation!L$9:L$153,MATCH($Q83,B_InitialSituation!$Q$9:$Q$153,0))*$X83)</f>
        <v>0</v>
      </c>
      <c r="AE83" s="392">
        <f>IF(AE$75&lt;=CNTR_YearMergerSplit,"",INDEX(B_InitialSituation!M$9:M$153,MATCH($Q83,B_InitialSituation!$Q$9:$Q$153,0))*$X83)</f>
        <v>0</v>
      </c>
      <c r="AF83" s="392">
        <f>IF(AF$75&lt;=CNTR_YearMergerSplit,"",INDEX(B_InitialSituation!N$9:N$153,MATCH($Q83,B_InitialSituation!$Q$9:$Q$153,0))*$X83)</f>
        <v>0</v>
      </c>
      <c r="AG83" s="384"/>
      <c r="AH83" s="391">
        <f>INDEX(CHOOSE($V83,C_MergerSplitTransfer!$H$9:$H$68,C_MergerSplitTransfer!$K$9:$K$68),MATCH(R83,C_MergerSplitTransfer!$T$9:$T$68,0))</f>
        <v>0</v>
      </c>
      <c r="AI83" s="392">
        <f>IF(AI$75&lt;=CNTR_YearMergerSplit,"",INDEX(B_InitialSituation!G$9:G$153,MATCH($R83,B_InitialSituation!$Q$9:$Q$153,0))*$AH83)</f>
        <v>0</v>
      </c>
      <c r="AJ83" s="392">
        <f>IF(AJ$75&lt;=CNTR_YearMergerSplit,"",INDEX(B_InitialSituation!H$9:H$153,MATCH($R83,B_InitialSituation!$Q$9:$Q$153,0))*$AH83)</f>
        <v>0</v>
      </c>
      <c r="AK83" s="392">
        <f>IF(AK$75&lt;=CNTR_YearMergerSplit,"",INDEX(B_InitialSituation!I$9:I$153,MATCH($R83,B_InitialSituation!$Q$9:$Q$153,0))*$AH83)</f>
        <v>0</v>
      </c>
      <c r="AL83" s="392">
        <f>IF(AL$75&lt;=CNTR_YearMergerSplit,"",INDEX(B_InitialSituation!J$9:J$153,MATCH($R83,B_InitialSituation!$Q$9:$Q$153,0))*$AH83)</f>
        <v>0</v>
      </c>
      <c r="AM83" s="392">
        <f>IF(AM$75&lt;=CNTR_YearMergerSplit,"",INDEX(B_InitialSituation!K$9:K$153,MATCH($R83,B_InitialSituation!$Q$9:$Q$153,0))*$AH83)</f>
        <v>0</v>
      </c>
      <c r="AN83" s="392">
        <f>IF(AN$75&lt;=CNTR_YearMergerSplit,"",INDEX(B_InitialSituation!L$9:L$153,MATCH($R83,B_InitialSituation!$Q$9:$Q$153,0))*$AH83)</f>
        <v>0</v>
      </c>
      <c r="AO83" s="392">
        <f>IF(AO$75&lt;=CNTR_YearMergerSplit,"",INDEX(B_InitialSituation!M$9:M$153,MATCH($R83,B_InitialSituation!$Q$9:$Q$153,0))*$AH83)</f>
        <v>0</v>
      </c>
      <c r="AP83" s="392">
        <f>IF(AP$75&lt;=CNTR_YearMergerSplit,"",INDEX(B_InitialSituation!N$9:N$153,MATCH($R83,B_InitialSituation!$Q$9:$Q$153,0))*$AH83)</f>
        <v>0</v>
      </c>
      <c r="AQ83" s="384"/>
    </row>
    <row r="84" spans="1:43" s="483" customFormat="1" ht="12.75" customHeight="1">
      <c r="A84" s="4"/>
      <c r="B84" s="5"/>
      <c r="C84" s="29">
        <v>8</v>
      </c>
      <c r="D84" s="877">
        <f t="shared" si="14"/>
      </c>
      <c r="E84" s="878"/>
      <c r="F84" s="879"/>
      <c r="G84" s="354">
        <f t="shared" si="15"/>
      </c>
      <c r="H84" s="354">
        <f t="shared" si="5"/>
      </c>
      <c r="I84" s="354">
        <f t="shared" si="6"/>
      </c>
      <c r="J84" s="354">
        <f t="shared" si="7"/>
      </c>
      <c r="K84" s="354">
        <f t="shared" si="8"/>
      </c>
      <c r="L84" s="354">
        <f t="shared" si="9"/>
      </c>
      <c r="M84" s="354">
        <f t="shared" si="10"/>
      </c>
      <c r="N84" s="354">
        <f t="shared" si="11"/>
      </c>
      <c r="O84" s="288"/>
      <c r="P84" s="9"/>
      <c r="Q84" s="412" t="str">
        <f t="shared" si="12"/>
        <v>FInitial_1_</v>
      </c>
      <c r="R84" s="412" t="str">
        <f t="shared" si="13"/>
        <v>FInitial_2_</v>
      </c>
      <c r="S84" s="384"/>
      <c r="T84" s="414">
        <f>IF(COUNTIF(B_InitialSituation!$T$9:$T$153,$C84)=0,"",INDEX(B_InitialSituation!$D$9:$D$153,MATCH($C84,B_InitialSituation!$T$9:$T$153,0)))</f>
      </c>
      <c r="U84" s="384"/>
      <c r="V84" s="414">
        <f t="shared" si="16"/>
        <v>1</v>
      </c>
      <c r="W84" s="384"/>
      <c r="X84" s="391">
        <f>INDEX(CHOOSE($V84,C_MergerSplitTransfer!$H$9:$H$68,C_MergerSplitTransfer!$K$9:$K$68),MATCH(Q84,C_MergerSplitTransfer!$T$9:$T$68,0))</f>
        <v>0</v>
      </c>
      <c r="Y84" s="392">
        <f>IF(Y$75&lt;=CNTR_YearMergerSplit,"",INDEX(B_InitialSituation!G$9:G$153,MATCH($Q84,B_InitialSituation!$Q$9:$Q$153,0))*$X84)</f>
        <v>0</v>
      </c>
      <c r="Z84" s="392">
        <f>IF(Z$75&lt;=CNTR_YearMergerSplit,"",INDEX(B_InitialSituation!H$9:H$153,MATCH($Q84,B_InitialSituation!$Q$9:$Q$153,0))*$X84)</f>
        <v>0</v>
      </c>
      <c r="AA84" s="392">
        <f>IF(AA$75&lt;=CNTR_YearMergerSplit,"",INDEX(B_InitialSituation!I$9:I$153,MATCH($Q84,B_InitialSituation!$Q$9:$Q$153,0))*$X84)</f>
        <v>0</v>
      </c>
      <c r="AB84" s="392">
        <f>IF(AB$75&lt;=CNTR_YearMergerSplit,"",INDEX(B_InitialSituation!J$9:J$153,MATCH($Q84,B_InitialSituation!$Q$9:$Q$153,0))*$X84)</f>
        <v>0</v>
      </c>
      <c r="AC84" s="392">
        <f>IF(AC$75&lt;=CNTR_YearMergerSplit,"",INDEX(B_InitialSituation!K$9:K$153,MATCH($Q84,B_InitialSituation!$Q$9:$Q$153,0))*$X84)</f>
        <v>0</v>
      </c>
      <c r="AD84" s="392">
        <f>IF(AD$75&lt;=CNTR_YearMergerSplit,"",INDEX(B_InitialSituation!L$9:L$153,MATCH($Q84,B_InitialSituation!$Q$9:$Q$153,0))*$X84)</f>
        <v>0</v>
      </c>
      <c r="AE84" s="392">
        <f>IF(AE$75&lt;=CNTR_YearMergerSplit,"",INDEX(B_InitialSituation!M$9:M$153,MATCH($Q84,B_InitialSituation!$Q$9:$Q$153,0))*$X84)</f>
        <v>0</v>
      </c>
      <c r="AF84" s="392">
        <f>IF(AF$75&lt;=CNTR_YearMergerSplit,"",INDEX(B_InitialSituation!N$9:N$153,MATCH($Q84,B_InitialSituation!$Q$9:$Q$153,0))*$X84)</f>
        <v>0</v>
      </c>
      <c r="AG84" s="384"/>
      <c r="AH84" s="391">
        <f>INDEX(CHOOSE($V84,C_MergerSplitTransfer!$H$9:$H$68,C_MergerSplitTransfer!$K$9:$K$68),MATCH(R84,C_MergerSplitTransfer!$T$9:$T$68,0))</f>
        <v>0</v>
      </c>
      <c r="AI84" s="392">
        <f>IF(AI$75&lt;=CNTR_YearMergerSplit,"",INDEX(B_InitialSituation!G$9:G$153,MATCH($R84,B_InitialSituation!$Q$9:$Q$153,0))*$AH84)</f>
        <v>0</v>
      </c>
      <c r="AJ84" s="392">
        <f>IF(AJ$75&lt;=CNTR_YearMergerSplit,"",INDEX(B_InitialSituation!H$9:H$153,MATCH($R84,B_InitialSituation!$Q$9:$Q$153,0))*$AH84)</f>
        <v>0</v>
      </c>
      <c r="AK84" s="392">
        <f>IF(AK$75&lt;=CNTR_YearMergerSplit,"",INDEX(B_InitialSituation!I$9:I$153,MATCH($R84,B_InitialSituation!$Q$9:$Q$153,0))*$AH84)</f>
        <v>0</v>
      </c>
      <c r="AL84" s="392">
        <f>IF(AL$75&lt;=CNTR_YearMergerSplit,"",INDEX(B_InitialSituation!J$9:J$153,MATCH($R84,B_InitialSituation!$Q$9:$Q$153,0))*$AH84)</f>
        <v>0</v>
      </c>
      <c r="AM84" s="392">
        <f>IF(AM$75&lt;=CNTR_YearMergerSplit,"",INDEX(B_InitialSituation!K$9:K$153,MATCH($R84,B_InitialSituation!$Q$9:$Q$153,0))*$AH84)</f>
        <v>0</v>
      </c>
      <c r="AN84" s="392">
        <f>IF(AN$75&lt;=CNTR_YearMergerSplit,"",INDEX(B_InitialSituation!L$9:L$153,MATCH($R84,B_InitialSituation!$Q$9:$Q$153,0))*$AH84)</f>
        <v>0</v>
      </c>
      <c r="AO84" s="392">
        <f>IF(AO$75&lt;=CNTR_YearMergerSplit,"",INDEX(B_InitialSituation!M$9:M$153,MATCH($R84,B_InitialSituation!$Q$9:$Q$153,0))*$AH84)</f>
        <v>0</v>
      </c>
      <c r="AP84" s="392">
        <f>IF(AP$75&lt;=CNTR_YearMergerSplit,"",INDEX(B_InitialSituation!N$9:N$153,MATCH($R84,B_InitialSituation!$Q$9:$Q$153,0))*$AH84)</f>
        <v>0</v>
      </c>
      <c r="AQ84" s="384"/>
    </row>
    <row r="85" spans="1:43" s="483" customFormat="1" ht="12.75" customHeight="1">
      <c r="A85" s="4"/>
      <c r="B85" s="5"/>
      <c r="C85" s="29">
        <v>9</v>
      </c>
      <c r="D85" s="877">
        <f t="shared" si="14"/>
      </c>
      <c r="E85" s="878"/>
      <c r="F85" s="879"/>
      <c r="G85" s="354">
        <f t="shared" si="15"/>
      </c>
      <c r="H85" s="354">
        <f t="shared" si="5"/>
      </c>
      <c r="I85" s="354">
        <f t="shared" si="6"/>
      </c>
      <c r="J85" s="354">
        <f t="shared" si="7"/>
      </c>
      <c r="K85" s="354">
        <f t="shared" si="8"/>
      </c>
      <c r="L85" s="354">
        <f t="shared" si="9"/>
      </c>
      <c r="M85" s="354">
        <f t="shared" si="10"/>
      </c>
      <c r="N85" s="354">
        <f t="shared" si="11"/>
      </c>
      <c r="O85" s="288"/>
      <c r="P85" s="9"/>
      <c r="Q85" s="412" t="str">
        <f t="shared" si="12"/>
        <v>FInitial_1_</v>
      </c>
      <c r="R85" s="412" t="str">
        <f t="shared" si="13"/>
        <v>FInitial_2_</v>
      </c>
      <c r="S85" s="384"/>
      <c r="T85" s="414">
        <f>IF(COUNTIF(B_InitialSituation!$T$9:$T$153,$C85)=0,"",INDEX(B_InitialSituation!$D$9:$D$153,MATCH($C85,B_InitialSituation!$T$9:$T$153,0)))</f>
      </c>
      <c r="U85" s="384"/>
      <c r="V85" s="414">
        <f t="shared" si="16"/>
        <v>1</v>
      </c>
      <c r="W85" s="384"/>
      <c r="X85" s="391">
        <f>INDEX(CHOOSE($V85,C_MergerSplitTransfer!$H$9:$H$68,C_MergerSplitTransfer!$K$9:$K$68),MATCH(Q85,C_MergerSplitTransfer!$T$9:$T$68,0))</f>
        <v>0</v>
      </c>
      <c r="Y85" s="392">
        <f>IF(Y$75&lt;=CNTR_YearMergerSplit,"",INDEX(B_InitialSituation!G$9:G$153,MATCH($Q85,B_InitialSituation!$Q$9:$Q$153,0))*$X85)</f>
        <v>0</v>
      </c>
      <c r="Z85" s="392">
        <f>IF(Z$75&lt;=CNTR_YearMergerSplit,"",INDEX(B_InitialSituation!H$9:H$153,MATCH($Q85,B_InitialSituation!$Q$9:$Q$153,0))*$X85)</f>
        <v>0</v>
      </c>
      <c r="AA85" s="392">
        <f>IF(AA$75&lt;=CNTR_YearMergerSplit,"",INDEX(B_InitialSituation!I$9:I$153,MATCH($Q85,B_InitialSituation!$Q$9:$Q$153,0))*$X85)</f>
        <v>0</v>
      </c>
      <c r="AB85" s="392">
        <f>IF(AB$75&lt;=CNTR_YearMergerSplit,"",INDEX(B_InitialSituation!J$9:J$153,MATCH($Q85,B_InitialSituation!$Q$9:$Q$153,0))*$X85)</f>
        <v>0</v>
      </c>
      <c r="AC85" s="392">
        <f>IF(AC$75&lt;=CNTR_YearMergerSplit,"",INDEX(B_InitialSituation!K$9:K$153,MATCH($Q85,B_InitialSituation!$Q$9:$Q$153,0))*$X85)</f>
        <v>0</v>
      </c>
      <c r="AD85" s="392">
        <f>IF(AD$75&lt;=CNTR_YearMergerSplit,"",INDEX(B_InitialSituation!L$9:L$153,MATCH($Q85,B_InitialSituation!$Q$9:$Q$153,0))*$X85)</f>
        <v>0</v>
      </c>
      <c r="AE85" s="392">
        <f>IF(AE$75&lt;=CNTR_YearMergerSplit,"",INDEX(B_InitialSituation!M$9:M$153,MATCH($Q85,B_InitialSituation!$Q$9:$Q$153,0))*$X85)</f>
        <v>0</v>
      </c>
      <c r="AF85" s="392">
        <f>IF(AF$75&lt;=CNTR_YearMergerSplit,"",INDEX(B_InitialSituation!N$9:N$153,MATCH($Q85,B_InitialSituation!$Q$9:$Q$153,0))*$X85)</f>
        <v>0</v>
      </c>
      <c r="AG85" s="384"/>
      <c r="AH85" s="391">
        <f>INDEX(CHOOSE($V85,C_MergerSplitTransfer!$H$9:$H$68,C_MergerSplitTransfer!$K$9:$K$68),MATCH(R85,C_MergerSplitTransfer!$T$9:$T$68,0))</f>
        <v>0</v>
      </c>
      <c r="AI85" s="392">
        <f>IF(AI$75&lt;=CNTR_YearMergerSplit,"",INDEX(B_InitialSituation!G$9:G$153,MATCH($R85,B_InitialSituation!$Q$9:$Q$153,0))*$AH85)</f>
        <v>0</v>
      </c>
      <c r="AJ85" s="392">
        <f>IF(AJ$75&lt;=CNTR_YearMergerSplit,"",INDEX(B_InitialSituation!H$9:H$153,MATCH($R85,B_InitialSituation!$Q$9:$Q$153,0))*$AH85)</f>
        <v>0</v>
      </c>
      <c r="AK85" s="392">
        <f>IF(AK$75&lt;=CNTR_YearMergerSplit,"",INDEX(B_InitialSituation!I$9:I$153,MATCH($R85,B_InitialSituation!$Q$9:$Q$153,0))*$AH85)</f>
        <v>0</v>
      </c>
      <c r="AL85" s="392">
        <f>IF(AL$75&lt;=CNTR_YearMergerSplit,"",INDEX(B_InitialSituation!J$9:J$153,MATCH($R85,B_InitialSituation!$Q$9:$Q$153,0))*$AH85)</f>
        <v>0</v>
      </c>
      <c r="AM85" s="392">
        <f>IF(AM$75&lt;=CNTR_YearMergerSplit,"",INDEX(B_InitialSituation!K$9:K$153,MATCH($R85,B_InitialSituation!$Q$9:$Q$153,0))*$AH85)</f>
        <v>0</v>
      </c>
      <c r="AN85" s="392">
        <f>IF(AN$75&lt;=CNTR_YearMergerSplit,"",INDEX(B_InitialSituation!L$9:L$153,MATCH($R85,B_InitialSituation!$Q$9:$Q$153,0))*$AH85)</f>
        <v>0</v>
      </c>
      <c r="AO85" s="392">
        <f>IF(AO$75&lt;=CNTR_YearMergerSplit,"",INDEX(B_InitialSituation!M$9:M$153,MATCH($R85,B_InitialSituation!$Q$9:$Q$153,0))*$AH85)</f>
        <v>0</v>
      </c>
      <c r="AP85" s="392">
        <f>IF(AP$75&lt;=CNTR_YearMergerSplit,"",INDEX(B_InitialSituation!N$9:N$153,MATCH($R85,B_InitialSituation!$Q$9:$Q$153,0))*$AH85)</f>
        <v>0</v>
      </c>
      <c r="AQ85" s="384"/>
    </row>
    <row r="86" spans="1:43" s="483" customFormat="1" ht="12.75" customHeight="1" thickBot="1">
      <c r="A86" s="4"/>
      <c r="B86" s="5"/>
      <c r="C86" s="25">
        <v>10</v>
      </c>
      <c r="D86" s="908">
        <f t="shared" si="14"/>
      </c>
      <c r="E86" s="909"/>
      <c r="F86" s="910"/>
      <c r="G86" s="355">
        <f t="shared" si="15"/>
      </c>
      <c r="H86" s="355">
        <f t="shared" si="5"/>
      </c>
      <c r="I86" s="355">
        <f t="shared" si="6"/>
      </c>
      <c r="J86" s="355">
        <f t="shared" si="7"/>
      </c>
      <c r="K86" s="355">
        <f t="shared" si="8"/>
      </c>
      <c r="L86" s="355">
        <f t="shared" si="9"/>
      </c>
      <c r="M86" s="355">
        <f t="shared" si="10"/>
      </c>
      <c r="N86" s="355">
        <f t="shared" si="11"/>
      </c>
      <c r="O86" s="288"/>
      <c r="P86" s="9"/>
      <c r="Q86" s="412" t="str">
        <f t="shared" si="12"/>
        <v>FInitial_1_</v>
      </c>
      <c r="R86" s="412" t="str">
        <f t="shared" si="13"/>
        <v>FInitial_2_</v>
      </c>
      <c r="S86" s="384"/>
      <c r="T86" s="415">
        <f>IF(COUNTIF(B_InitialSituation!$T$9:$T$153,$C86)=0,"",INDEX(B_InitialSituation!$D$9:$D$153,MATCH($C86,B_InitialSituation!$T$9:$T$153,0)))</f>
      </c>
      <c r="U86" s="384"/>
      <c r="V86" s="414">
        <f t="shared" si="16"/>
        <v>1</v>
      </c>
      <c r="W86" s="384"/>
      <c r="X86" s="393">
        <f>INDEX(CHOOSE($V86,C_MergerSplitTransfer!$H$9:$H$68,C_MergerSplitTransfer!$K$9:$K$68),MATCH(Q86,C_MergerSplitTransfer!$T$9:$T$68,0))</f>
        <v>0</v>
      </c>
      <c r="Y86" s="394">
        <f>IF(Y$75&lt;=CNTR_YearMergerSplit,"",INDEX(B_InitialSituation!G$9:G$153,MATCH($Q86,B_InitialSituation!$Q$9:$Q$153,0))*$X86)</f>
        <v>0</v>
      </c>
      <c r="Z86" s="394">
        <f>IF(Z$75&lt;=CNTR_YearMergerSplit,"",INDEX(B_InitialSituation!H$9:H$153,MATCH($Q86,B_InitialSituation!$Q$9:$Q$153,0))*$X86)</f>
        <v>0</v>
      </c>
      <c r="AA86" s="394">
        <f>IF(AA$75&lt;=CNTR_YearMergerSplit,"",INDEX(B_InitialSituation!I$9:I$153,MATCH($Q86,B_InitialSituation!$Q$9:$Q$153,0))*$X86)</f>
        <v>0</v>
      </c>
      <c r="AB86" s="394">
        <f>IF(AB$75&lt;=CNTR_YearMergerSplit,"",INDEX(B_InitialSituation!J$9:J$153,MATCH($Q86,B_InitialSituation!$Q$9:$Q$153,0))*$X86)</f>
        <v>0</v>
      </c>
      <c r="AC86" s="394">
        <f>IF(AC$75&lt;=CNTR_YearMergerSplit,"",INDEX(B_InitialSituation!K$9:K$153,MATCH($Q86,B_InitialSituation!$Q$9:$Q$153,0))*$X86)</f>
        <v>0</v>
      </c>
      <c r="AD86" s="394">
        <f>IF(AD$75&lt;=CNTR_YearMergerSplit,"",INDEX(B_InitialSituation!L$9:L$153,MATCH($Q86,B_InitialSituation!$Q$9:$Q$153,0))*$X86)</f>
        <v>0</v>
      </c>
      <c r="AE86" s="394">
        <f>IF(AE$75&lt;=CNTR_YearMergerSplit,"",INDEX(B_InitialSituation!M$9:M$153,MATCH($Q86,B_InitialSituation!$Q$9:$Q$153,0))*$X86)</f>
        <v>0</v>
      </c>
      <c r="AF86" s="394">
        <f>IF(AF$75&lt;=CNTR_YearMergerSplit,"",INDEX(B_InitialSituation!N$9:N$153,MATCH($Q86,B_InitialSituation!$Q$9:$Q$153,0))*$X86)</f>
        <v>0</v>
      </c>
      <c r="AG86" s="384"/>
      <c r="AH86" s="393">
        <f>INDEX(CHOOSE($V86,C_MergerSplitTransfer!$H$9:$H$68,C_MergerSplitTransfer!$K$9:$K$68),MATCH(R86,C_MergerSplitTransfer!$T$9:$T$68,0))</f>
        <v>0</v>
      </c>
      <c r="AI86" s="394">
        <f>IF(AI$75&lt;=CNTR_YearMergerSplit,"",INDEX(B_InitialSituation!G$9:G$153,MATCH($R86,B_InitialSituation!$Q$9:$Q$153,0))*$AH86)</f>
        <v>0</v>
      </c>
      <c r="AJ86" s="394">
        <f>IF(AJ$75&lt;=CNTR_YearMergerSplit,"",INDEX(B_InitialSituation!H$9:H$153,MATCH($R86,B_InitialSituation!$Q$9:$Q$153,0))*$AH86)</f>
        <v>0</v>
      </c>
      <c r="AK86" s="394">
        <f>IF(AK$75&lt;=CNTR_YearMergerSplit,"",INDEX(B_InitialSituation!I$9:I$153,MATCH($R86,B_InitialSituation!$Q$9:$Q$153,0))*$AH86)</f>
        <v>0</v>
      </c>
      <c r="AL86" s="394">
        <f>IF(AL$75&lt;=CNTR_YearMergerSplit,"",INDEX(B_InitialSituation!J$9:J$153,MATCH($R86,B_InitialSituation!$Q$9:$Q$153,0))*$AH86)</f>
        <v>0</v>
      </c>
      <c r="AM86" s="394">
        <f>IF(AM$75&lt;=CNTR_YearMergerSplit,"",INDEX(B_InitialSituation!K$9:K$153,MATCH($R86,B_InitialSituation!$Q$9:$Q$153,0))*$AH86)</f>
        <v>0</v>
      </c>
      <c r="AN86" s="394">
        <f>IF(AN$75&lt;=CNTR_YearMergerSplit,"",INDEX(B_InitialSituation!L$9:L$153,MATCH($R86,B_InitialSituation!$Q$9:$Q$153,0))*$AH86)</f>
        <v>0</v>
      </c>
      <c r="AO86" s="394">
        <f>IF(AO$75&lt;=CNTR_YearMergerSplit,"",INDEX(B_InitialSituation!M$9:M$153,MATCH($R86,B_InitialSituation!$Q$9:$Q$153,0))*$AH86)</f>
        <v>0</v>
      </c>
      <c r="AP86" s="394">
        <f>IF(AP$75&lt;=CNTR_YearMergerSplit,"",INDEX(B_InitialSituation!N$9:N$153,MATCH($R86,B_InitialSituation!$Q$9:$Q$153,0))*$AH86)</f>
        <v>0</v>
      </c>
      <c r="AQ86" s="384"/>
    </row>
    <row r="87" spans="1:43" s="483" customFormat="1" ht="24.75" customHeight="1">
      <c r="A87" s="4"/>
      <c r="B87" s="5"/>
      <c r="C87" s="29">
        <v>11</v>
      </c>
      <c r="D87" s="889" t="str">
        <f aca="true" t="shared" si="17" ref="D87:D92">INDEX(EUconst_FallBackListNames,C87-10)</f>
        <v>Подинсталация с топлинен показател, с риск от изтичане на въглерод</v>
      </c>
      <c r="E87" s="890"/>
      <c r="F87" s="891"/>
      <c r="G87" s="353">
        <f t="shared" si="15"/>
      </c>
      <c r="H87" s="353">
        <f t="shared" si="5"/>
      </c>
      <c r="I87" s="353">
        <f t="shared" si="6"/>
      </c>
      <c r="J87" s="353">
        <f t="shared" si="7"/>
      </c>
      <c r="K87" s="353">
        <f t="shared" si="8"/>
      </c>
      <c r="L87" s="353">
        <f t="shared" si="9"/>
      </c>
      <c r="M87" s="353">
        <f t="shared" si="10"/>
      </c>
      <c r="N87" s="353">
        <f t="shared" si="11"/>
      </c>
      <c r="O87" s="288"/>
      <c r="P87" s="9"/>
      <c r="Q87" s="412" t="str">
        <f t="shared" si="12"/>
        <v>FInitial_1_Подинсталация с топлинен показател, с риск от изтичане на въглерод</v>
      </c>
      <c r="R87" s="412" t="str">
        <f t="shared" si="13"/>
        <v>FInitial_2_Подинсталация с топлинен показател, с риск от изтичане на въглерод</v>
      </c>
      <c r="S87" s="384"/>
      <c r="T87" s="384"/>
      <c r="U87" s="384"/>
      <c r="V87" s="414">
        <f t="shared" si="16"/>
        <v>1</v>
      </c>
      <c r="W87" s="384"/>
      <c r="X87" s="389">
        <f>INDEX(CHOOSE($V87,C_MergerSplitTransfer!$H$9:$H$68,C_MergerSplitTransfer!$K$9:$K$68),MATCH(Q87,C_MergerSplitTransfer!$T$9:$T$68,0))</f>
        <v>0</v>
      </c>
      <c r="Y87" s="390">
        <f>IF(Y$75&lt;=CNTR_YearMergerSplit,"",INDEX(B_InitialSituation!G$9:G$153,MATCH($Q87,B_InitialSituation!$Q$9:$Q$153,0))*$X87)</f>
        <v>0</v>
      </c>
      <c r="Z87" s="390">
        <f>IF(Z$75&lt;=CNTR_YearMergerSplit,"",INDEX(B_InitialSituation!H$9:H$153,MATCH($Q87,B_InitialSituation!$Q$9:$Q$153,0))*$X87)</f>
        <v>0</v>
      </c>
      <c r="AA87" s="390">
        <f>IF(AA$75&lt;=CNTR_YearMergerSplit,"",INDEX(B_InitialSituation!I$9:I$153,MATCH($Q87,B_InitialSituation!$Q$9:$Q$153,0))*$X87)</f>
        <v>0</v>
      </c>
      <c r="AB87" s="390">
        <f>IF(AB$75&lt;=CNTR_YearMergerSplit,"",INDEX(B_InitialSituation!J$9:J$153,MATCH($Q87,B_InitialSituation!$Q$9:$Q$153,0))*$X87)</f>
        <v>0</v>
      </c>
      <c r="AC87" s="390">
        <f>IF(AC$75&lt;=CNTR_YearMergerSplit,"",INDEX(B_InitialSituation!K$9:K$153,MATCH($Q87,B_InitialSituation!$Q$9:$Q$153,0))*$X87)</f>
        <v>0</v>
      </c>
      <c r="AD87" s="390">
        <f>IF(AD$75&lt;=CNTR_YearMergerSplit,"",INDEX(B_InitialSituation!L$9:L$153,MATCH($Q87,B_InitialSituation!$Q$9:$Q$153,0))*$X87)</f>
        <v>0</v>
      </c>
      <c r="AE87" s="390">
        <f>IF(AE$75&lt;=CNTR_YearMergerSplit,"",INDEX(B_InitialSituation!M$9:M$153,MATCH($Q87,B_InitialSituation!$Q$9:$Q$153,0))*$X87)</f>
        <v>0</v>
      </c>
      <c r="AF87" s="390">
        <f>IF(AF$75&lt;=CNTR_YearMergerSplit,"",INDEX(B_InitialSituation!N$9:N$153,MATCH($Q87,B_InitialSituation!$Q$9:$Q$153,0))*$X87)</f>
        <v>0</v>
      </c>
      <c r="AG87" s="384"/>
      <c r="AH87" s="389">
        <f>INDEX(CHOOSE($V87,C_MergerSplitTransfer!$H$9:$H$68,C_MergerSplitTransfer!$K$9:$K$68),MATCH(R87,C_MergerSplitTransfer!$T$9:$T$68,0))</f>
        <v>0</v>
      </c>
      <c r="AI87" s="390">
        <f>IF(AI$75&lt;=CNTR_YearMergerSplit,"",INDEX(B_InitialSituation!G$9:G$153,MATCH($R87,B_InitialSituation!$Q$9:$Q$153,0))*$AH87)</f>
        <v>0</v>
      </c>
      <c r="AJ87" s="390">
        <f>IF(AJ$75&lt;=CNTR_YearMergerSplit,"",INDEX(B_InitialSituation!H$9:H$153,MATCH($R87,B_InitialSituation!$Q$9:$Q$153,0))*$AH87)</f>
        <v>0</v>
      </c>
      <c r="AK87" s="390">
        <f>IF(AK$75&lt;=CNTR_YearMergerSplit,"",INDEX(B_InitialSituation!I$9:I$153,MATCH($R87,B_InitialSituation!$Q$9:$Q$153,0))*$AH87)</f>
        <v>0</v>
      </c>
      <c r="AL87" s="390">
        <f>IF(AL$75&lt;=CNTR_YearMergerSplit,"",INDEX(B_InitialSituation!J$9:J$153,MATCH($R87,B_InitialSituation!$Q$9:$Q$153,0))*$AH87)</f>
        <v>0</v>
      </c>
      <c r="AM87" s="390">
        <f>IF(AM$75&lt;=CNTR_YearMergerSplit,"",INDEX(B_InitialSituation!K$9:K$153,MATCH($R87,B_InitialSituation!$Q$9:$Q$153,0))*$AH87)</f>
        <v>0</v>
      </c>
      <c r="AN87" s="390">
        <f>IF(AN$75&lt;=CNTR_YearMergerSplit,"",INDEX(B_InitialSituation!L$9:L$153,MATCH($R87,B_InitialSituation!$Q$9:$Q$153,0))*$AH87)</f>
        <v>0</v>
      </c>
      <c r="AO87" s="390">
        <f>IF(AO$75&lt;=CNTR_YearMergerSplit,"",INDEX(B_InitialSituation!M$9:M$153,MATCH($R87,B_InitialSituation!$Q$9:$Q$153,0))*$AH87)</f>
        <v>0</v>
      </c>
      <c r="AP87" s="390">
        <f>IF(AP$75&lt;=CNTR_YearMergerSplit,"",INDEX(B_InitialSituation!N$9:N$153,MATCH($R87,B_InitialSituation!$Q$9:$Q$153,0))*$AH87)</f>
        <v>0</v>
      </c>
      <c r="AQ87" s="384"/>
    </row>
    <row r="88" spans="1:43" s="483" customFormat="1" ht="24.75" customHeight="1">
      <c r="A88" s="4"/>
      <c r="B88" s="5"/>
      <c r="C88" s="29">
        <v>12</v>
      </c>
      <c r="D88" s="886" t="str">
        <f t="shared" si="17"/>
        <v>Подинсталация с топлинен показател, без риск от изтичане на въглерод</v>
      </c>
      <c r="E88" s="887"/>
      <c r="F88" s="888"/>
      <c r="G88" s="354">
        <f t="shared" si="15"/>
      </c>
      <c r="H88" s="354">
        <f t="shared" si="5"/>
      </c>
      <c r="I88" s="354">
        <f t="shared" si="6"/>
      </c>
      <c r="J88" s="354">
        <f t="shared" si="7"/>
      </c>
      <c r="K88" s="354">
        <f t="shared" si="8"/>
      </c>
      <c r="L88" s="354">
        <f t="shared" si="9"/>
      </c>
      <c r="M88" s="354">
        <f t="shared" si="10"/>
      </c>
      <c r="N88" s="354">
        <f t="shared" si="11"/>
      </c>
      <c r="O88" s="288"/>
      <c r="P88" s="9"/>
      <c r="Q88" s="412" t="str">
        <f t="shared" si="12"/>
        <v>FInitial_1_Подинсталация с топлинен показател, без риск от изтичане на въглерод</v>
      </c>
      <c r="R88" s="412" t="str">
        <f t="shared" si="13"/>
        <v>FInitial_2_Подинсталация с топлинен показател, без риск от изтичане на въглерод</v>
      </c>
      <c r="S88" s="384"/>
      <c r="T88" s="384"/>
      <c r="U88" s="384"/>
      <c r="V88" s="414">
        <f t="shared" si="16"/>
        <v>1</v>
      </c>
      <c r="W88" s="384"/>
      <c r="X88" s="391">
        <f>INDEX(CHOOSE($V88,C_MergerSplitTransfer!$H$9:$H$68,C_MergerSplitTransfer!$K$9:$K$68),MATCH(Q88,C_MergerSplitTransfer!$T$9:$T$68,0))</f>
        <v>0</v>
      </c>
      <c r="Y88" s="392">
        <f>IF(Y$75&lt;=CNTR_YearMergerSplit,"",INDEX(B_InitialSituation!G$9:G$153,MATCH($Q88,B_InitialSituation!$Q$9:$Q$153,0))*$X88)</f>
        <v>0</v>
      </c>
      <c r="Z88" s="392">
        <f>IF(Z$75&lt;=CNTR_YearMergerSplit,"",INDEX(B_InitialSituation!H$9:H$153,MATCH($Q88,B_InitialSituation!$Q$9:$Q$153,0))*$X88)</f>
        <v>0</v>
      </c>
      <c r="AA88" s="392">
        <f>IF(AA$75&lt;=CNTR_YearMergerSplit,"",INDEX(B_InitialSituation!I$9:I$153,MATCH($Q88,B_InitialSituation!$Q$9:$Q$153,0))*$X88)</f>
        <v>0</v>
      </c>
      <c r="AB88" s="392">
        <f>IF(AB$75&lt;=CNTR_YearMergerSplit,"",INDEX(B_InitialSituation!J$9:J$153,MATCH($Q88,B_InitialSituation!$Q$9:$Q$153,0))*$X88)</f>
        <v>0</v>
      </c>
      <c r="AC88" s="392">
        <f>IF(AC$75&lt;=CNTR_YearMergerSplit,"",INDEX(B_InitialSituation!K$9:K$153,MATCH($Q88,B_InitialSituation!$Q$9:$Q$153,0))*$X88)</f>
        <v>0</v>
      </c>
      <c r="AD88" s="392">
        <f>IF(AD$75&lt;=CNTR_YearMergerSplit,"",INDEX(B_InitialSituation!L$9:L$153,MATCH($Q88,B_InitialSituation!$Q$9:$Q$153,0))*$X88)</f>
        <v>0</v>
      </c>
      <c r="AE88" s="392">
        <f>IF(AE$75&lt;=CNTR_YearMergerSplit,"",INDEX(B_InitialSituation!M$9:M$153,MATCH($Q88,B_InitialSituation!$Q$9:$Q$153,0))*$X88)</f>
        <v>0</v>
      </c>
      <c r="AF88" s="392">
        <f>IF(AF$75&lt;=CNTR_YearMergerSplit,"",INDEX(B_InitialSituation!N$9:N$153,MATCH($Q88,B_InitialSituation!$Q$9:$Q$153,0))*$X88)</f>
        <v>0</v>
      </c>
      <c r="AG88" s="384"/>
      <c r="AH88" s="391">
        <f>INDEX(CHOOSE($V88,C_MergerSplitTransfer!$H$9:$H$68,C_MergerSplitTransfer!$K$9:$K$68),MATCH(R88,C_MergerSplitTransfer!$T$9:$T$68,0))</f>
        <v>0</v>
      </c>
      <c r="AI88" s="392">
        <f>IF(AI$75&lt;=CNTR_YearMergerSplit,"",INDEX(B_InitialSituation!G$9:G$153,MATCH($R88,B_InitialSituation!$Q$9:$Q$153,0))*$AH88)</f>
        <v>0</v>
      </c>
      <c r="AJ88" s="392">
        <f>IF(AJ$75&lt;=CNTR_YearMergerSplit,"",INDEX(B_InitialSituation!H$9:H$153,MATCH($R88,B_InitialSituation!$Q$9:$Q$153,0))*$AH88)</f>
        <v>0</v>
      </c>
      <c r="AK88" s="392">
        <f>IF(AK$75&lt;=CNTR_YearMergerSplit,"",INDEX(B_InitialSituation!I$9:I$153,MATCH($R88,B_InitialSituation!$Q$9:$Q$153,0))*$AH88)</f>
        <v>0</v>
      </c>
      <c r="AL88" s="392">
        <f>IF(AL$75&lt;=CNTR_YearMergerSplit,"",INDEX(B_InitialSituation!J$9:J$153,MATCH($R88,B_InitialSituation!$Q$9:$Q$153,0))*$AH88)</f>
        <v>0</v>
      </c>
      <c r="AM88" s="392">
        <f>IF(AM$75&lt;=CNTR_YearMergerSplit,"",INDEX(B_InitialSituation!K$9:K$153,MATCH($R88,B_InitialSituation!$Q$9:$Q$153,0))*$AH88)</f>
        <v>0</v>
      </c>
      <c r="AN88" s="392">
        <f>IF(AN$75&lt;=CNTR_YearMergerSplit,"",INDEX(B_InitialSituation!L$9:L$153,MATCH($R88,B_InitialSituation!$Q$9:$Q$153,0))*$AH88)</f>
        <v>0</v>
      </c>
      <c r="AO88" s="392">
        <f>IF(AO$75&lt;=CNTR_YearMergerSplit,"",INDEX(B_InitialSituation!M$9:M$153,MATCH($R88,B_InitialSituation!$Q$9:$Q$153,0))*$AH88)</f>
        <v>0</v>
      </c>
      <c r="AP88" s="392">
        <f>IF(AP$75&lt;=CNTR_YearMergerSplit,"",INDEX(B_InitialSituation!N$9:N$153,MATCH($R88,B_InitialSituation!$Q$9:$Q$153,0))*$AH88)</f>
        <v>0</v>
      </c>
      <c r="AQ88" s="384"/>
    </row>
    <row r="89" spans="1:43" s="483" customFormat="1" ht="24.75" customHeight="1">
      <c r="A89" s="4"/>
      <c r="B89" s="5"/>
      <c r="C89" s="29">
        <v>13</v>
      </c>
      <c r="D89" s="886" t="str">
        <f t="shared" si="17"/>
        <v>Подинсталация с горивен показател, с риск от изтичане на въглерод</v>
      </c>
      <c r="E89" s="887"/>
      <c r="F89" s="888"/>
      <c r="G89" s="354">
        <f t="shared" si="15"/>
      </c>
      <c r="H89" s="354">
        <f t="shared" si="5"/>
      </c>
      <c r="I89" s="354">
        <f t="shared" si="6"/>
      </c>
      <c r="J89" s="354">
        <f t="shared" si="7"/>
      </c>
      <c r="K89" s="354">
        <f t="shared" si="8"/>
      </c>
      <c r="L89" s="354">
        <f t="shared" si="9"/>
      </c>
      <c r="M89" s="354">
        <f t="shared" si="10"/>
      </c>
      <c r="N89" s="354">
        <f t="shared" si="11"/>
      </c>
      <c r="O89" s="288"/>
      <c r="P89" s="9"/>
      <c r="Q89" s="412" t="str">
        <f t="shared" si="12"/>
        <v>FInitial_1_Подинсталация с горивен показател, с риск от изтичане на въглерод</v>
      </c>
      <c r="R89" s="412" t="str">
        <f t="shared" si="13"/>
        <v>FInitial_2_Подинсталация с горивен показател, с риск от изтичане на въглерод</v>
      </c>
      <c r="S89" s="384"/>
      <c r="T89" s="384"/>
      <c r="U89" s="384"/>
      <c r="V89" s="414">
        <f t="shared" si="16"/>
        <v>1</v>
      </c>
      <c r="W89" s="384"/>
      <c r="X89" s="391">
        <f>INDEX(CHOOSE($V89,C_MergerSplitTransfer!$H$9:$H$68,C_MergerSplitTransfer!$K$9:$K$68),MATCH(Q89,C_MergerSplitTransfer!$T$9:$T$68,0))</f>
        <v>0</v>
      </c>
      <c r="Y89" s="392">
        <f>IF(Y$75&lt;=CNTR_YearMergerSplit,"",INDEX(B_InitialSituation!G$9:G$153,MATCH($Q89,B_InitialSituation!$Q$9:$Q$153,0))*$X89)</f>
        <v>0</v>
      </c>
      <c r="Z89" s="392">
        <f>IF(Z$75&lt;=CNTR_YearMergerSplit,"",INDEX(B_InitialSituation!H$9:H$153,MATCH($Q89,B_InitialSituation!$Q$9:$Q$153,0))*$X89)</f>
        <v>0</v>
      </c>
      <c r="AA89" s="392">
        <f>IF(AA$75&lt;=CNTR_YearMergerSplit,"",INDEX(B_InitialSituation!I$9:I$153,MATCH($Q89,B_InitialSituation!$Q$9:$Q$153,0))*$X89)</f>
        <v>0</v>
      </c>
      <c r="AB89" s="392">
        <f>IF(AB$75&lt;=CNTR_YearMergerSplit,"",INDEX(B_InitialSituation!J$9:J$153,MATCH($Q89,B_InitialSituation!$Q$9:$Q$153,0))*$X89)</f>
        <v>0</v>
      </c>
      <c r="AC89" s="392">
        <f>IF(AC$75&lt;=CNTR_YearMergerSplit,"",INDEX(B_InitialSituation!K$9:K$153,MATCH($Q89,B_InitialSituation!$Q$9:$Q$153,0))*$X89)</f>
        <v>0</v>
      </c>
      <c r="AD89" s="392">
        <f>IF(AD$75&lt;=CNTR_YearMergerSplit,"",INDEX(B_InitialSituation!L$9:L$153,MATCH($Q89,B_InitialSituation!$Q$9:$Q$153,0))*$X89)</f>
        <v>0</v>
      </c>
      <c r="AE89" s="392">
        <f>IF(AE$75&lt;=CNTR_YearMergerSplit,"",INDEX(B_InitialSituation!M$9:M$153,MATCH($Q89,B_InitialSituation!$Q$9:$Q$153,0))*$X89)</f>
        <v>0</v>
      </c>
      <c r="AF89" s="392">
        <f>IF(AF$75&lt;=CNTR_YearMergerSplit,"",INDEX(B_InitialSituation!N$9:N$153,MATCH($Q89,B_InitialSituation!$Q$9:$Q$153,0))*$X89)</f>
        <v>0</v>
      </c>
      <c r="AG89" s="384"/>
      <c r="AH89" s="391">
        <f>INDEX(CHOOSE($V89,C_MergerSplitTransfer!$H$9:$H$68,C_MergerSplitTransfer!$K$9:$K$68),MATCH(R89,C_MergerSplitTransfer!$T$9:$T$68,0))</f>
        <v>0</v>
      </c>
      <c r="AI89" s="392">
        <f>IF(AI$75&lt;=CNTR_YearMergerSplit,"",INDEX(B_InitialSituation!G$9:G$153,MATCH($R89,B_InitialSituation!$Q$9:$Q$153,0))*$AH89)</f>
        <v>0</v>
      </c>
      <c r="AJ89" s="392">
        <f>IF(AJ$75&lt;=CNTR_YearMergerSplit,"",INDEX(B_InitialSituation!H$9:H$153,MATCH($R89,B_InitialSituation!$Q$9:$Q$153,0))*$AH89)</f>
        <v>0</v>
      </c>
      <c r="AK89" s="392">
        <f>IF(AK$75&lt;=CNTR_YearMergerSplit,"",INDEX(B_InitialSituation!I$9:I$153,MATCH($R89,B_InitialSituation!$Q$9:$Q$153,0))*$AH89)</f>
        <v>0</v>
      </c>
      <c r="AL89" s="392">
        <f>IF(AL$75&lt;=CNTR_YearMergerSplit,"",INDEX(B_InitialSituation!J$9:J$153,MATCH($R89,B_InitialSituation!$Q$9:$Q$153,0))*$AH89)</f>
        <v>0</v>
      </c>
      <c r="AM89" s="392">
        <f>IF(AM$75&lt;=CNTR_YearMergerSplit,"",INDEX(B_InitialSituation!K$9:K$153,MATCH($R89,B_InitialSituation!$Q$9:$Q$153,0))*$AH89)</f>
        <v>0</v>
      </c>
      <c r="AN89" s="392">
        <f>IF(AN$75&lt;=CNTR_YearMergerSplit,"",INDEX(B_InitialSituation!L$9:L$153,MATCH($R89,B_InitialSituation!$Q$9:$Q$153,0))*$AH89)</f>
        <v>0</v>
      </c>
      <c r="AO89" s="392">
        <f>IF(AO$75&lt;=CNTR_YearMergerSplit,"",INDEX(B_InitialSituation!M$9:M$153,MATCH($R89,B_InitialSituation!$Q$9:$Q$153,0))*$AH89)</f>
        <v>0</v>
      </c>
      <c r="AP89" s="392">
        <f>IF(AP$75&lt;=CNTR_YearMergerSplit,"",INDEX(B_InitialSituation!N$9:N$153,MATCH($R89,B_InitialSituation!$Q$9:$Q$153,0))*$AH89)</f>
        <v>0</v>
      </c>
      <c r="AQ89" s="384"/>
    </row>
    <row r="90" spans="1:43" s="483" customFormat="1" ht="24.75" customHeight="1">
      <c r="A90" s="4"/>
      <c r="B90" s="5"/>
      <c r="C90" s="29">
        <v>14</v>
      </c>
      <c r="D90" s="886" t="str">
        <f t="shared" si="17"/>
        <v>Подинсталация с горивен показател, без риск от изтичане на въглерод</v>
      </c>
      <c r="E90" s="887"/>
      <c r="F90" s="888"/>
      <c r="G90" s="354">
        <f t="shared" si="15"/>
      </c>
      <c r="H90" s="354">
        <f t="shared" si="5"/>
      </c>
      <c r="I90" s="354">
        <f t="shared" si="6"/>
      </c>
      <c r="J90" s="354">
        <f t="shared" si="7"/>
      </c>
      <c r="K90" s="354">
        <f t="shared" si="8"/>
      </c>
      <c r="L90" s="354">
        <f t="shared" si="9"/>
      </c>
      <c r="M90" s="354">
        <f t="shared" si="10"/>
      </c>
      <c r="N90" s="354">
        <f t="shared" si="11"/>
      </c>
      <c r="O90" s="288"/>
      <c r="P90" s="9"/>
      <c r="Q90" s="412" t="str">
        <f t="shared" si="12"/>
        <v>FInitial_1_Подинсталация с горивен показател, без риск от изтичане на въглерод</v>
      </c>
      <c r="R90" s="412" t="str">
        <f t="shared" si="13"/>
        <v>FInitial_2_Подинсталация с горивен показател, без риск от изтичане на въглерод</v>
      </c>
      <c r="S90" s="384"/>
      <c r="T90" s="384"/>
      <c r="U90" s="384"/>
      <c r="V90" s="414">
        <f t="shared" si="16"/>
        <v>1</v>
      </c>
      <c r="W90" s="384"/>
      <c r="X90" s="391">
        <f>INDEX(CHOOSE($V90,C_MergerSplitTransfer!$H$9:$H$68,C_MergerSplitTransfer!$K$9:$K$68),MATCH(Q90,C_MergerSplitTransfer!$T$9:$T$68,0))</f>
        <v>0</v>
      </c>
      <c r="Y90" s="392">
        <f>IF(Y$75&lt;=CNTR_YearMergerSplit,"",INDEX(B_InitialSituation!G$9:G$153,MATCH($Q90,B_InitialSituation!$Q$9:$Q$153,0))*$X90)</f>
        <v>0</v>
      </c>
      <c r="Z90" s="392">
        <f>IF(Z$75&lt;=CNTR_YearMergerSplit,"",INDEX(B_InitialSituation!H$9:H$153,MATCH($Q90,B_InitialSituation!$Q$9:$Q$153,0))*$X90)</f>
        <v>0</v>
      </c>
      <c r="AA90" s="392">
        <f>IF(AA$75&lt;=CNTR_YearMergerSplit,"",INDEX(B_InitialSituation!I$9:I$153,MATCH($Q90,B_InitialSituation!$Q$9:$Q$153,0))*$X90)</f>
        <v>0</v>
      </c>
      <c r="AB90" s="392">
        <f>IF(AB$75&lt;=CNTR_YearMergerSplit,"",INDEX(B_InitialSituation!J$9:J$153,MATCH($Q90,B_InitialSituation!$Q$9:$Q$153,0))*$X90)</f>
        <v>0</v>
      </c>
      <c r="AC90" s="392">
        <f>IF(AC$75&lt;=CNTR_YearMergerSplit,"",INDEX(B_InitialSituation!K$9:K$153,MATCH($Q90,B_InitialSituation!$Q$9:$Q$153,0))*$X90)</f>
        <v>0</v>
      </c>
      <c r="AD90" s="392">
        <f>IF(AD$75&lt;=CNTR_YearMergerSplit,"",INDEX(B_InitialSituation!L$9:L$153,MATCH($Q90,B_InitialSituation!$Q$9:$Q$153,0))*$X90)</f>
        <v>0</v>
      </c>
      <c r="AE90" s="392">
        <f>IF(AE$75&lt;=CNTR_YearMergerSplit,"",INDEX(B_InitialSituation!M$9:M$153,MATCH($Q90,B_InitialSituation!$Q$9:$Q$153,0))*$X90)</f>
        <v>0</v>
      </c>
      <c r="AF90" s="392">
        <f>IF(AF$75&lt;=CNTR_YearMergerSplit,"",INDEX(B_InitialSituation!N$9:N$153,MATCH($Q90,B_InitialSituation!$Q$9:$Q$153,0))*$X90)</f>
        <v>0</v>
      </c>
      <c r="AG90" s="384"/>
      <c r="AH90" s="391">
        <f>INDEX(CHOOSE($V90,C_MergerSplitTransfer!$H$9:$H$68,C_MergerSplitTransfer!$K$9:$K$68),MATCH(R90,C_MergerSplitTransfer!$T$9:$T$68,0))</f>
        <v>0</v>
      </c>
      <c r="AI90" s="392">
        <f>IF(AI$75&lt;=CNTR_YearMergerSplit,"",INDEX(B_InitialSituation!G$9:G$153,MATCH($R90,B_InitialSituation!$Q$9:$Q$153,0))*$AH90)</f>
        <v>0</v>
      </c>
      <c r="AJ90" s="392">
        <f>IF(AJ$75&lt;=CNTR_YearMergerSplit,"",INDEX(B_InitialSituation!H$9:H$153,MATCH($R90,B_InitialSituation!$Q$9:$Q$153,0))*$AH90)</f>
        <v>0</v>
      </c>
      <c r="AK90" s="392">
        <f>IF(AK$75&lt;=CNTR_YearMergerSplit,"",INDEX(B_InitialSituation!I$9:I$153,MATCH($R90,B_InitialSituation!$Q$9:$Q$153,0))*$AH90)</f>
        <v>0</v>
      </c>
      <c r="AL90" s="392">
        <f>IF(AL$75&lt;=CNTR_YearMergerSplit,"",INDEX(B_InitialSituation!J$9:J$153,MATCH($R90,B_InitialSituation!$Q$9:$Q$153,0))*$AH90)</f>
        <v>0</v>
      </c>
      <c r="AM90" s="392">
        <f>IF(AM$75&lt;=CNTR_YearMergerSplit,"",INDEX(B_InitialSituation!K$9:K$153,MATCH($R90,B_InitialSituation!$Q$9:$Q$153,0))*$AH90)</f>
        <v>0</v>
      </c>
      <c r="AN90" s="392">
        <f>IF(AN$75&lt;=CNTR_YearMergerSplit,"",INDEX(B_InitialSituation!L$9:L$153,MATCH($R90,B_InitialSituation!$Q$9:$Q$153,0))*$AH90)</f>
        <v>0</v>
      </c>
      <c r="AO90" s="392">
        <f>IF(AO$75&lt;=CNTR_YearMergerSplit,"",INDEX(B_InitialSituation!M$9:M$153,MATCH($R90,B_InitialSituation!$Q$9:$Q$153,0))*$AH90)</f>
        <v>0</v>
      </c>
      <c r="AP90" s="392">
        <f>IF(AP$75&lt;=CNTR_YearMergerSplit,"",INDEX(B_InitialSituation!N$9:N$153,MATCH($R90,B_InitialSituation!$Q$9:$Q$153,0))*$AH90)</f>
        <v>0</v>
      </c>
      <c r="AQ90" s="384"/>
    </row>
    <row r="91" spans="1:43" s="483" customFormat="1" ht="24.75" customHeight="1">
      <c r="A91" s="4"/>
      <c r="B91" s="5"/>
      <c r="C91" s="29">
        <v>15</v>
      </c>
      <c r="D91" s="886" t="str">
        <f t="shared" si="17"/>
        <v>Подинсталация с технологични емисии, с риск от изтичане на въглерод</v>
      </c>
      <c r="E91" s="887"/>
      <c r="F91" s="888"/>
      <c r="G91" s="354">
        <f t="shared" si="15"/>
      </c>
      <c r="H91" s="354">
        <f t="shared" si="5"/>
      </c>
      <c r="I91" s="354">
        <f t="shared" si="6"/>
      </c>
      <c r="J91" s="354">
        <f t="shared" si="7"/>
      </c>
      <c r="K91" s="354">
        <f t="shared" si="8"/>
      </c>
      <c r="L91" s="354">
        <f t="shared" si="9"/>
      </c>
      <c r="M91" s="354">
        <f t="shared" si="10"/>
      </c>
      <c r="N91" s="354">
        <f t="shared" si="11"/>
      </c>
      <c r="O91" s="288"/>
      <c r="P91" s="9"/>
      <c r="Q91" s="412" t="str">
        <f t="shared" si="12"/>
        <v>FInitial_1_Подинсталация с технологични емисии, с риск от изтичане на въглерод</v>
      </c>
      <c r="R91" s="412" t="str">
        <f t="shared" si="13"/>
        <v>FInitial_2_Подинсталация с технологични емисии, с риск от изтичане на въглерод</v>
      </c>
      <c r="S91" s="384"/>
      <c r="T91" s="384"/>
      <c r="U91" s="384"/>
      <c r="V91" s="414">
        <f t="shared" si="16"/>
        <v>1</v>
      </c>
      <c r="W91" s="384"/>
      <c r="X91" s="391">
        <f>INDEX(CHOOSE($V91,C_MergerSplitTransfer!$H$9:$H$68,C_MergerSplitTransfer!$K$9:$K$68),MATCH(Q91,C_MergerSplitTransfer!$T$9:$T$68,0))</f>
        <v>0</v>
      </c>
      <c r="Y91" s="392">
        <f>IF(Y$75&lt;=CNTR_YearMergerSplit,"",INDEX(B_InitialSituation!G$9:G$153,MATCH($Q91,B_InitialSituation!$Q$9:$Q$153,0))*$X91)</f>
        <v>0</v>
      </c>
      <c r="Z91" s="392">
        <f>IF(Z$75&lt;=CNTR_YearMergerSplit,"",INDEX(B_InitialSituation!H$9:H$153,MATCH($Q91,B_InitialSituation!$Q$9:$Q$153,0))*$X91)</f>
        <v>0</v>
      </c>
      <c r="AA91" s="392">
        <f>IF(AA$75&lt;=CNTR_YearMergerSplit,"",INDEX(B_InitialSituation!I$9:I$153,MATCH($Q91,B_InitialSituation!$Q$9:$Q$153,0))*$X91)</f>
        <v>0</v>
      </c>
      <c r="AB91" s="392">
        <f>IF(AB$75&lt;=CNTR_YearMergerSplit,"",INDEX(B_InitialSituation!J$9:J$153,MATCH($Q91,B_InitialSituation!$Q$9:$Q$153,0))*$X91)</f>
        <v>0</v>
      </c>
      <c r="AC91" s="392">
        <f>IF(AC$75&lt;=CNTR_YearMergerSplit,"",INDEX(B_InitialSituation!K$9:K$153,MATCH($Q91,B_InitialSituation!$Q$9:$Q$153,0))*$X91)</f>
        <v>0</v>
      </c>
      <c r="AD91" s="392">
        <f>IF(AD$75&lt;=CNTR_YearMergerSplit,"",INDEX(B_InitialSituation!L$9:L$153,MATCH($Q91,B_InitialSituation!$Q$9:$Q$153,0))*$X91)</f>
        <v>0</v>
      </c>
      <c r="AE91" s="392">
        <f>IF(AE$75&lt;=CNTR_YearMergerSplit,"",INDEX(B_InitialSituation!M$9:M$153,MATCH($Q91,B_InitialSituation!$Q$9:$Q$153,0))*$X91)</f>
        <v>0</v>
      </c>
      <c r="AF91" s="392">
        <f>IF(AF$75&lt;=CNTR_YearMergerSplit,"",INDEX(B_InitialSituation!N$9:N$153,MATCH($Q91,B_InitialSituation!$Q$9:$Q$153,0))*$X91)</f>
        <v>0</v>
      </c>
      <c r="AG91" s="384"/>
      <c r="AH91" s="391">
        <f>INDEX(CHOOSE($V91,C_MergerSplitTransfer!$H$9:$H$68,C_MergerSplitTransfer!$K$9:$K$68),MATCH(R91,C_MergerSplitTransfer!$T$9:$T$68,0))</f>
        <v>0</v>
      </c>
      <c r="AI91" s="392">
        <f>IF(AI$75&lt;=CNTR_YearMergerSplit,"",INDEX(B_InitialSituation!G$9:G$153,MATCH($R91,B_InitialSituation!$Q$9:$Q$153,0))*$AH91)</f>
        <v>0</v>
      </c>
      <c r="AJ91" s="392">
        <f>IF(AJ$75&lt;=CNTR_YearMergerSplit,"",INDEX(B_InitialSituation!H$9:H$153,MATCH($R91,B_InitialSituation!$Q$9:$Q$153,0))*$AH91)</f>
        <v>0</v>
      </c>
      <c r="AK91" s="392">
        <f>IF(AK$75&lt;=CNTR_YearMergerSplit,"",INDEX(B_InitialSituation!I$9:I$153,MATCH($R91,B_InitialSituation!$Q$9:$Q$153,0))*$AH91)</f>
        <v>0</v>
      </c>
      <c r="AL91" s="392">
        <f>IF(AL$75&lt;=CNTR_YearMergerSplit,"",INDEX(B_InitialSituation!J$9:J$153,MATCH($R91,B_InitialSituation!$Q$9:$Q$153,0))*$AH91)</f>
        <v>0</v>
      </c>
      <c r="AM91" s="392">
        <f>IF(AM$75&lt;=CNTR_YearMergerSplit,"",INDEX(B_InitialSituation!K$9:K$153,MATCH($R91,B_InitialSituation!$Q$9:$Q$153,0))*$AH91)</f>
        <v>0</v>
      </c>
      <c r="AN91" s="392">
        <f>IF(AN$75&lt;=CNTR_YearMergerSplit,"",INDEX(B_InitialSituation!L$9:L$153,MATCH($R91,B_InitialSituation!$Q$9:$Q$153,0))*$AH91)</f>
        <v>0</v>
      </c>
      <c r="AO91" s="392">
        <f>IF(AO$75&lt;=CNTR_YearMergerSplit,"",INDEX(B_InitialSituation!M$9:M$153,MATCH($R91,B_InitialSituation!$Q$9:$Q$153,0))*$AH91)</f>
        <v>0</v>
      </c>
      <c r="AP91" s="392">
        <f>IF(AP$75&lt;=CNTR_YearMergerSplit,"",INDEX(B_InitialSituation!N$9:N$153,MATCH($R91,B_InitialSituation!$Q$9:$Q$153,0))*$AH91)</f>
        <v>0</v>
      </c>
      <c r="AQ91" s="384"/>
    </row>
    <row r="92" spans="1:43" s="483" customFormat="1" ht="24.75" customHeight="1">
      <c r="A92" s="4"/>
      <c r="B92" s="5"/>
      <c r="C92" s="29">
        <v>16</v>
      </c>
      <c r="D92" s="880" t="str">
        <f t="shared" si="17"/>
        <v>Подинсталация с технологични емисии, без риск от изтичане на въглерод</v>
      </c>
      <c r="E92" s="881"/>
      <c r="F92" s="882"/>
      <c r="G92" s="356">
        <f t="shared" si="15"/>
      </c>
      <c r="H92" s="356">
        <f t="shared" si="5"/>
      </c>
      <c r="I92" s="356">
        <f t="shared" si="6"/>
      </c>
      <c r="J92" s="356">
        <f t="shared" si="7"/>
      </c>
      <c r="K92" s="356">
        <f t="shared" si="8"/>
      </c>
      <c r="L92" s="356">
        <f t="shared" si="9"/>
      </c>
      <c r="M92" s="356">
        <f t="shared" si="10"/>
      </c>
      <c r="N92" s="356">
        <f t="shared" si="11"/>
      </c>
      <c r="O92" s="288"/>
      <c r="P92" s="9"/>
      <c r="Q92" s="412" t="str">
        <f t="shared" si="12"/>
        <v>FInitial_1_Подинсталация с технологични емисии, без риск от изтичане на въглерод</v>
      </c>
      <c r="R92" s="412" t="str">
        <f t="shared" si="13"/>
        <v>FInitial_2_Подинсталация с технологични емисии, без риск от изтичане на въглерод</v>
      </c>
      <c r="S92" s="384"/>
      <c r="T92" s="384"/>
      <c r="U92" s="384"/>
      <c r="V92" s="414">
        <f t="shared" si="16"/>
        <v>1</v>
      </c>
      <c r="W92" s="384"/>
      <c r="X92" s="395">
        <f>INDEX(CHOOSE($V92,C_MergerSplitTransfer!$H$9:$H$68,C_MergerSplitTransfer!$K$9:$K$68),MATCH(Q92,C_MergerSplitTransfer!$T$9:$T$68,0))</f>
        <v>0</v>
      </c>
      <c r="Y92" s="396">
        <f>IF(Y$75&lt;=CNTR_YearMergerSplit,"",INDEX(B_InitialSituation!G$9:G$153,MATCH($Q92,B_InitialSituation!$Q$9:$Q$153,0))*$X92)</f>
        <v>0</v>
      </c>
      <c r="Z92" s="396">
        <f>IF(Z$75&lt;=CNTR_YearMergerSplit,"",INDEX(B_InitialSituation!H$9:H$153,MATCH($Q92,B_InitialSituation!$Q$9:$Q$153,0))*$X92)</f>
        <v>0</v>
      </c>
      <c r="AA92" s="396">
        <f>IF(AA$75&lt;=CNTR_YearMergerSplit,"",INDEX(B_InitialSituation!I$9:I$153,MATCH($Q92,B_InitialSituation!$Q$9:$Q$153,0))*$X92)</f>
        <v>0</v>
      </c>
      <c r="AB92" s="396">
        <f>IF(AB$75&lt;=CNTR_YearMergerSplit,"",INDEX(B_InitialSituation!J$9:J$153,MATCH($Q92,B_InitialSituation!$Q$9:$Q$153,0))*$X92)</f>
        <v>0</v>
      </c>
      <c r="AC92" s="396">
        <f>IF(AC$75&lt;=CNTR_YearMergerSplit,"",INDEX(B_InitialSituation!K$9:K$153,MATCH($Q92,B_InitialSituation!$Q$9:$Q$153,0))*$X92)</f>
        <v>0</v>
      </c>
      <c r="AD92" s="396">
        <f>IF(AD$75&lt;=CNTR_YearMergerSplit,"",INDEX(B_InitialSituation!L$9:L$153,MATCH($Q92,B_InitialSituation!$Q$9:$Q$153,0))*$X92)</f>
        <v>0</v>
      </c>
      <c r="AE92" s="396">
        <f>IF(AE$75&lt;=CNTR_YearMergerSplit,"",INDEX(B_InitialSituation!M$9:M$153,MATCH($Q92,B_InitialSituation!$Q$9:$Q$153,0))*$X92)</f>
        <v>0</v>
      </c>
      <c r="AF92" s="396">
        <f>IF(AF$75&lt;=CNTR_YearMergerSplit,"",INDEX(B_InitialSituation!N$9:N$153,MATCH($Q92,B_InitialSituation!$Q$9:$Q$153,0))*$X92)</f>
        <v>0</v>
      </c>
      <c r="AG92" s="384"/>
      <c r="AH92" s="395">
        <f>INDEX(CHOOSE($V92,C_MergerSplitTransfer!$H$9:$H$68,C_MergerSplitTransfer!$K$9:$K$68),MATCH(R92,C_MergerSplitTransfer!$T$9:$T$68,0))</f>
        <v>0</v>
      </c>
      <c r="AI92" s="396">
        <f>IF(AI$75&lt;=CNTR_YearMergerSplit,"",INDEX(B_InitialSituation!G$9:G$153,MATCH($R92,B_InitialSituation!$Q$9:$Q$153,0))*$AH92)</f>
        <v>0</v>
      </c>
      <c r="AJ92" s="396">
        <f>IF(AJ$75&lt;=CNTR_YearMergerSplit,"",INDEX(B_InitialSituation!H$9:H$153,MATCH($R92,B_InitialSituation!$Q$9:$Q$153,0))*$AH92)</f>
        <v>0</v>
      </c>
      <c r="AK92" s="396">
        <f>IF(AK$75&lt;=CNTR_YearMergerSplit,"",INDEX(B_InitialSituation!I$9:I$153,MATCH($R92,B_InitialSituation!$Q$9:$Q$153,0))*$AH92)</f>
        <v>0</v>
      </c>
      <c r="AL92" s="396">
        <f>IF(AL$75&lt;=CNTR_YearMergerSplit,"",INDEX(B_InitialSituation!J$9:J$153,MATCH($R92,B_InitialSituation!$Q$9:$Q$153,0))*$AH92)</f>
        <v>0</v>
      </c>
      <c r="AM92" s="396">
        <f>IF(AM$75&lt;=CNTR_YearMergerSplit,"",INDEX(B_InitialSituation!K$9:K$153,MATCH($R92,B_InitialSituation!$Q$9:$Q$153,0))*$AH92)</f>
        <v>0</v>
      </c>
      <c r="AN92" s="396">
        <f>IF(AN$75&lt;=CNTR_YearMergerSplit,"",INDEX(B_InitialSituation!L$9:L$153,MATCH($R92,B_InitialSituation!$Q$9:$Q$153,0))*$AH92)</f>
        <v>0</v>
      </c>
      <c r="AO92" s="396">
        <f>IF(AO$75&lt;=CNTR_YearMergerSplit,"",INDEX(B_InitialSituation!M$9:M$153,MATCH($R92,B_InitialSituation!$Q$9:$Q$153,0))*$AH92)</f>
        <v>0</v>
      </c>
      <c r="AP92" s="396">
        <f>IF(AP$75&lt;=CNTR_YearMergerSplit,"",INDEX(B_InitialSituation!N$9:N$153,MATCH($R92,B_InitialSituation!$Q$9:$Q$153,0))*$AH92)</f>
        <v>0</v>
      </c>
      <c r="AQ92" s="384"/>
    </row>
    <row r="93" spans="1:43" s="483" customFormat="1" ht="12.75" customHeight="1" thickBot="1">
      <c r="A93" s="4"/>
      <c r="B93" s="5"/>
      <c r="C93" s="374">
        <v>17</v>
      </c>
      <c r="D93" s="892" t="str">
        <f>EUconst_PrivateHouseholds</f>
        <v>За частни жилища</v>
      </c>
      <c r="E93" s="893"/>
      <c r="F93" s="894"/>
      <c r="G93" s="375">
        <f t="shared" si="15"/>
      </c>
      <c r="H93" s="375">
        <f t="shared" si="5"/>
      </c>
      <c r="I93" s="375">
        <f t="shared" si="6"/>
      </c>
      <c r="J93" s="375">
        <f t="shared" si="7"/>
      </c>
      <c r="K93" s="375">
        <f t="shared" si="8"/>
      </c>
      <c r="L93" s="375">
        <f t="shared" si="9"/>
      </c>
      <c r="M93" s="375">
        <f t="shared" si="10"/>
      </c>
      <c r="N93" s="375">
        <f t="shared" si="11"/>
      </c>
      <c r="O93" s="288"/>
      <c r="P93" s="9"/>
      <c r="Q93" s="412" t="str">
        <f t="shared" si="12"/>
        <v>FInitial_1_За частни жилища</v>
      </c>
      <c r="R93" s="412" t="str">
        <f t="shared" si="13"/>
        <v>FInitial_2_За частни жилища</v>
      </c>
      <c r="S93" s="384"/>
      <c r="T93" s="384"/>
      <c r="U93" s="384"/>
      <c r="V93" s="415">
        <f t="shared" si="16"/>
        <v>1</v>
      </c>
      <c r="W93" s="384"/>
      <c r="X93" s="397">
        <f>INDEX(CHOOSE($V93,C_MergerSplitTransfer!$H$9:$H$68,C_MergerSplitTransfer!$K$9:$K$68),MATCH(Q93,C_MergerSplitTransfer!$T$9:$T$68,0))</f>
        <v>0</v>
      </c>
      <c r="Y93" s="398">
        <f>IF(Y$75&lt;=CNTR_YearMergerSplit,"",INDEX(B_InitialSituation!G$9:G$153,MATCH($Q93,B_InitialSituation!$Q$9:$Q$153,0))*$X93)</f>
        <v>0</v>
      </c>
      <c r="Z93" s="398">
        <f>IF(Z$75&lt;=CNTR_YearMergerSplit,"",INDEX(B_InitialSituation!H$9:H$153,MATCH($Q93,B_InitialSituation!$Q$9:$Q$153,0))*$X93)</f>
        <v>0</v>
      </c>
      <c r="AA93" s="398">
        <f>IF(AA$75&lt;=CNTR_YearMergerSplit,"",INDEX(B_InitialSituation!I$9:I$153,MATCH($Q93,B_InitialSituation!$Q$9:$Q$153,0))*$X93)</f>
        <v>0</v>
      </c>
      <c r="AB93" s="398">
        <f>IF(AB$75&lt;=CNTR_YearMergerSplit,"",INDEX(B_InitialSituation!J$9:J$153,MATCH($Q93,B_InitialSituation!$Q$9:$Q$153,0))*$X93)</f>
        <v>0</v>
      </c>
      <c r="AC93" s="398">
        <f>IF(AC$75&lt;=CNTR_YearMergerSplit,"",INDEX(B_InitialSituation!K$9:K$153,MATCH($Q93,B_InitialSituation!$Q$9:$Q$153,0))*$X93)</f>
        <v>0</v>
      </c>
      <c r="AD93" s="398">
        <f>IF(AD$75&lt;=CNTR_YearMergerSplit,"",INDEX(B_InitialSituation!L$9:L$153,MATCH($Q93,B_InitialSituation!$Q$9:$Q$153,0))*$X93)</f>
        <v>0</v>
      </c>
      <c r="AE93" s="398">
        <f>IF(AE$75&lt;=CNTR_YearMergerSplit,"",INDEX(B_InitialSituation!M$9:M$153,MATCH($Q93,B_InitialSituation!$Q$9:$Q$153,0))*$X93)</f>
        <v>0</v>
      </c>
      <c r="AF93" s="398">
        <f>IF(AF$75&lt;=CNTR_YearMergerSplit,"",INDEX(B_InitialSituation!N$9:N$153,MATCH($Q93,B_InitialSituation!$Q$9:$Q$153,0))*$X93)</f>
        <v>0</v>
      </c>
      <c r="AG93" s="384"/>
      <c r="AH93" s="397">
        <f>INDEX(CHOOSE($V93,C_MergerSplitTransfer!$H$9:$H$68,C_MergerSplitTransfer!$K$9:$K$68),MATCH(R93,C_MergerSplitTransfer!$T$9:$T$68,0))</f>
        <v>0</v>
      </c>
      <c r="AI93" s="398">
        <f>IF(AI$75&lt;=CNTR_YearMergerSplit,"",INDEX(B_InitialSituation!G$9:G$153,MATCH($R93,B_InitialSituation!$Q$9:$Q$153,0))*$AH93)</f>
        <v>0</v>
      </c>
      <c r="AJ93" s="398">
        <f>IF(AJ$75&lt;=CNTR_YearMergerSplit,"",INDEX(B_InitialSituation!H$9:H$153,MATCH($R93,B_InitialSituation!$Q$9:$Q$153,0))*$AH93)</f>
        <v>0</v>
      </c>
      <c r="AK93" s="398">
        <f>IF(AK$75&lt;=CNTR_YearMergerSplit,"",INDEX(B_InitialSituation!I$9:I$153,MATCH($R93,B_InitialSituation!$Q$9:$Q$153,0))*$AH93)</f>
        <v>0</v>
      </c>
      <c r="AL93" s="398">
        <f>IF(AL$75&lt;=CNTR_YearMergerSplit,"",INDEX(B_InitialSituation!J$9:J$153,MATCH($R93,B_InitialSituation!$Q$9:$Q$153,0))*$AH93)</f>
        <v>0</v>
      </c>
      <c r="AM93" s="398">
        <f>IF(AM$75&lt;=CNTR_YearMergerSplit,"",INDEX(B_InitialSituation!K$9:K$153,MATCH($R93,B_InitialSituation!$Q$9:$Q$153,0))*$AH93)</f>
        <v>0</v>
      </c>
      <c r="AN93" s="398">
        <f>IF(AN$75&lt;=CNTR_YearMergerSplit,"",INDEX(B_InitialSituation!L$9:L$153,MATCH($R93,B_InitialSituation!$Q$9:$Q$153,0))*$AH93)</f>
        <v>0</v>
      </c>
      <c r="AO93" s="398">
        <f>IF(AO$75&lt;=CNTR_YearMergerSplit,"",INDEX(B_InitialSituation!M$9:M$153,MATCH($R93,B_InitialSituation!$Q$9:$Q$153,0))*$AH93)</f>
        <v>0</v>
      </c>
      <c r="AP93" s="398">
        <f>IF(AP$75&lt;=CNTR_YearMergerSplit,"",INDEX(B_InitialSituation!N$9:N$153,MATCH($R93,B_InitialSituation!$Q$9:$Q$153,0))*$AH93)</f>
        <v>0</v>
      </c>
      <c r="AQ93" s="384"/>
    </row>
    <row r="94" spans="1:43" s="483" customFormat="1" ht="26.25" customHeight="1">
      <c r="A94" s="4"/>
      <c r="B94" s="5"/>
      <c r="C94" s="18"/>
      <c r="D94" s="895" t="str">
        <f>EUconst_TotFreeAlloc</f>
        <v>Окончателно общо безплатно отпуснато количество квоти</v>
      </c>
      <c r="E94" s="896"/>
      <c r="F94" s="897"/>
      <c r="G94" s="212">
        <f aca="true" t="shared" si="18" ref="G94:N94">IF(COUNT(G76:G93)&gt;0,SUM(G76:G93),"")</f>
      </c>
      <c r="H94" s="212">
        <f t="shared" si="18"/>
      </c>
      <c r="I94" s="212">
        <f t="shared" si="18"/>
      </c>
      <c r="J94" s="212">
        <f t="shared" si="18"/>
      </c>
      <c r="K94" s="212">
        <f t="shared" si="18"/>
      </c>
      <c r="L94" s="212">
        <f t="shared" si="18"/>
      </c>
      <c r="M94" s="212">
        <f t="shared" si="18"/>
      </c>
      <c r="N94" s="212">
        <f t="shared" si="18"/>
      </c>
      <c r="O94" s="288"/>
      <c r="P94" s="9"/>
      <c r="Q94" s="402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</row>
    <row r="95" spans="1:43" s="483" customFormat="1" ht="12.75" customHeight="1">
      <c r="A95" s="4"/>
      <c r="B95" s="5"/>
      <c r="C95" s="7"/>
      <c r="D95" s="5"/>
      <c r="E95" s="5"/>
      <c r="F95" s="5"/>
      <c r="G95" s="5"/>
      <c r="H95" s="5"/>
      <c r="I95" s="5"/>
      <c r="J95" s="5"/>
      <c r="K95" s="5"/>
      <c r="L95" s="5"/>
      <c r="M95" s="9"/>
      <c r="N95" s="9"/>
      <c r="O95" s="280"/>
      <c r="P95" s="9"/>
      <c r="Q95" s="402"/>
      <c r="R95" s="384"/>
      <c r="S95" s="384"/>
      <c r="T95" s="384"/>
      <c r="U95" s="384"/>
      <c r="V95" s="402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</row>
    <row r="96" spans="1:43" s="483" customFormat="1" ht="15" customHeight="1">
      <c r="A96" s="4"/>
      <c r="B96" s="18"/>
      <c r="C96" s="302"/>
      <c r="D96" s="934" t="str">
        <f>Translations!$B$613</f>
        <v>Нов първоначален инсталиран капацитет (мощност) и ново годишно равнище на активност:</v>
      </c>
      <c r="E96" s="935"/>
      <c r="F96" s="935"/>
      <c r="G96" s="935"/>
      <c r="H96" s="935"/>
      <c r="I96" s="935"/>
      <c r="J96" s="935"/>
      <c r="K96" s="935"/>
      <c r="L96" s="935"/>
      <c r="M96" s="935"/>
      <c r="N96" s="935"/>
      <c r="O96" s="18"/>
      <c r="P96" s="18"/>
      <c r="Q96" s="401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</row>
    <row r="97" spans="1:43" s="483" customFormat="1" ht="4.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9"/>
      <c r="N97" s="9"/>
      <c r="O97" s="9"/>
      <c r="P97" s="9"/>
      <c r="Q97" s="402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</row>
    <row r="98" spans="1:43" s="487" customFormat="1" ht="58.5" customHeight="1" thickBot="1">
      <c r="A98" s="357"/>
      <c r="B98" s="337"/>
      <c r="C98" s="358"/>
      <c r="D98" s="911" t="str">
        <f>Translations!$B$402</f>
        <v>Подинсталация</v>
      </c>
      <c r="E98" s="912"/>
      <c r="F98" s="912"/>
      <c r="G98" s="913"/>
      <c r="H98" s="66" t="str">
        <f>EUconst_Unit</f>
        <v>Единица мярка</v>
      </c>
      <c r="I98" s="66" t="str">
        <f>Translations!$B$471</f>
        <v>Първоначален инсталиран капацитет</v>
      </c>
      <c r="J98" s="359" t="str">
        <f>Translations!$B$481</f>
        <v>Първоначално годишно ниво на активност </v>
      </c>
      <c r="K98" s="5"/>
      <c r="L98" s="288"/>
      <c r="M98" s="288"/>
      <c r="N98" s="288"/>
      <c r="O98" s="360"/>
      <c r="P98" s="361"/>
      <c r="Q98" s="416"/>
      <c r="R98" s="416"/>
      <c r="S98" s="416"/>
      <c r="T98" s="416"/>
      <c r="U98" s="416"/>
      <c r="V98" s="410" t="s">
        <v>532</v>
      </c>
      <c r="W98" s="416"/>
      <c r="X98" s="399" t="str">
        <f>Translations!$B$471</f>
        <v>Първоначален инсталиран капацитет</v>
      </c>
      <c r="Y98" s="400" t="str">
        <f>Translations!$B$481</f>
        <v>Първоначално годишно ниво на активност </v>
      </c>
      <c r="Z98" s="384"/>
      <c r="AA98" s="119" t="s">
        <v>524</v>
      </c>
      <c r="AB98" s="119" t="s">
        <v>521</v>
      </c>
      <c r="AC98" s="10" t="s">
        <v>525</v>
      </c>
      <c r="AD98" s="402" t="s">
        <v>555</v>
      </c>
      <c r="AE98" s="402" t="str">
        <f>EUconst_Unit</f>
        <v>Единица мярка</v>
      </c>
      <c r="AF98" s="402" t="str">
        <f>EUconst_Unit</f>
        <v>Единица мярка</v>
      </c>
      <c r="AG98" s="417"/>
      <c r="AH98" s="420" t="str">
        <f>Translations!$B$471</f>
        <v>Първоначален инсталиран капацитет</v>
      </c>
      <c r="AI98" s="400" t="str">
        <f>Translations!$B$481</f>
        <v>Първоначално годишно ниво на активност </v>
      </c>
      <c r="AJ98" s="417"/>
      <c r="AK98" s="417"/>
      <c r="AL98" s="417"/>
      <c r="AM98" s="417"/>
      <c r="AN98" s="417"/>
      <c r="AO98" s="417"/>
      <c r="AP98" s="417"/>
      <c r="AQ98" s="417"/>
    </row>
    <row r="99" spans="1:43" s="483" customFormat="1" ht="12.75" customHeight="1">
      <c r="A99" s="4"/>
      <c r="B99" s="5"/>
      <c r="C99" s="29">
        <v>1</v>
      </c>
      <c r="D99" s="905">
        <f aca="true" t="shared" si="19" ref="D99:D108">IF(D77="","",D77)</f>
      </c>
      <c r="E99" s="906"/>
      <c r="F99" s="906"/>
      <c r="G99" s="907"/>
      <c r="H99" s="65">
        <f aca="true" t="shared" si="20" ref="H99:H108">IF(D99&lt;&gt;"",INDEX(EUconst_BMlistUnits,MATCH($D99,EUconst_BMlistNames,0))&amp;" / "&amp;EUconst_Year,"")</f>
      </c>
      <c r="I99" s="446">
        <f>IF(X99=0,"",ROUND(X99,0))</f>
      </c>
      <c r="J99" s="446">
        <f aca="true" t="shared" si="21" ref="J99:J114">IF(Y99=0,"",ROUND(Y99,0))</f>
      </c>
      <c r="K99" s="5"/>
      <c r="L99" s="288"/>
      <c r="M99" s="288"/>
      <c r="N99" s="288"/>
      <c r="O99" s="288"/>
      <c r="P99" s="442"/>
      <c r="Q99" s="412" t="str">
        <f aca="true" t="shared" si="22" ref="Q99:Q114">EUconst_CNTR_CAPINI&amp;$D99</f>
        <v>CAPINI_</v>
      </c>
      <c r="R99" s="416"/>
      <c r="S99" s="402"/>
      <c r="T99" s="402"/>
      <c r="U99" s="402"/>
      <c r="V99" s="413">
        <f>V93</f>
        <v>1</v>
      </c>
      <c r="W99" s="402"/>
      <c r="X99" s="421">
        <f>SUMIF(C_MergerSplitTransfer!$U$9:$U$68,$Q99,CHOOSE($V99,C_MergerSplitTransfer!I$9:I$68,C_MergerSplitTransfer!L$9:L$68))</f>
        <v>0</v>
      </c>
      <c r="Y99" s="421">
        <f>SUMIF(C_MergerSplitTransfer!$U$9:$U$68,$Q99,CHOOSE($V99,C_MergerSplitTransfer!J$9:J$68,C_MergerSplitTransfer!M$9:M$68))</f>
        <v>0</v>
      </c>
      <c r="Z99" s="384"/>
      <c r="AA99" s="412">
        <f aca="true" t="shared" si="23" ref="AA99:AA108">IF(D99="","",INDEX(EUconst_BMlistCLstatus,MATCH(D99,EUconst_BMlistNames,0)))</f>
      </c>
      <c r="AB99" s="412">
        <f aca="true" t="shared" si="24" ref="AB99:AB108">IF(D99="","",INDEX(EUconst_BMlistNumberOfBM,MATCH(D99,EUconst_BMlistNames,0)))</f>
      </c>
      <c r="AC99" s="412">
        <f aca="true" t="shared" si="25" ref="AC99:AC108">IF(D99="","",INDEX(EUconst_BMlistBMvalues,MATCH(D99,EUconst_BMlistNames,0)))</f>
      </c>
      <c r="AD99" s="412">
        <f aca="true" t="shared" si="26" ref="AD99:AD108">IF(D99="","",EUconst_EUA&amp;" / "&amp;AE99)</f>
      </c>
      <c r="AE99" s="412">
        <f aca="true" t="shared" si="27" ref="AE99:AE108">IF(D99="","",INDEX(EUconst_BMlistUnits,MATCH(D99,EUconst_BMlistNames,0)))</f>
      </c>
      <c r="AF99" s="412">
        <f aca="true" t="shared" si="28" ref="AF99:AF108">IF(D99="","",INDEX(EUconst_BMlistUnits,MATCH(D99,EUconst_BMlistNames,0))&amp;" / "&amp;EUconst_Year)</f>
      </c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</row>
    <row r="100" spans="1:43" s="483" customFormat="1" ht="12.75" customHeight="1">
      <c r="A100" s="4"/>
      <c r="B100" s="5"/>
      <c r="C100" s="29">
        <v>2</v>
      </c>
      <c r="D100" s="877">
        <f t="shared" si="19"/>
      </c>
      <c r="E100" s="878"/>
      <c r="F100" s="878"/>
      <c r="G100" s="879"/>
      <c r="H100" s="64">
        <f t="shared" si="20"/>
      </c>
      <c r="I100" s="447">
        <f aca="true" t="shared" si="29" ref="I100:I114">IF(X100=0,"",ROUND(X100,0))</f>
      </c>
      <c r="J100" s="447">
        <f t="shared" si="21"/>
      </c>
      <c r="K100" s="5"/>
      <c r="L100" s="288"/>
      <c r="M100" s="288"/>
      <c r="N100" s="288"/>
      <c r="O100" s="288"/>
      <c r="P100" s="286"/>
      <c r="Q100" s="412" t="str">
        <f t="shared" si="22"/>
        <v>CAPINI_</v>
      </c>
      <c r="R100" s="416"/>
      <c r="S100" s="402"/>
      <c r="T100" s="402"/>
      <c r="U100" s="402"/>
      <c r="V100" s="414">
        <f aca="true" t="shared" si="30" ref="V100:V114">V99</f>
        <v>1</v>
      </c>
      <c r="W100" s="402"/>
      <c r="X100" s="421">
        <f>SUMIF(C_MergerSplitTransfer!$U$9:$U$68,$Q100,CHOOSE($V100,C_MergerSplitTransfer!I$9:I$68,C_MergerSplitTransfer!L$9:L$68))</f>
        <v>0</v>
      </c>
      <c r="Y100" s="421">
        <f>SUMIF(C_MergerSplitTransfer!$U$9:$U$68,$Q100,CHOOSE($V100,C_MergerSplitTransfer!J$9:J$68,C_MergerSplitTransfer!M$9:M$68))</f>
        <v>0</v>
      </c>
      <c r="Z100" s="384"/>
      <c r="AA100" s="412">
        <f t="shared" si="23"/>
      </c>
      <c r="AB100" s="412">
        <f t="shared" si="24"/>
      </c>
      <c r="AC100" s="412">
        <f t="shared" si="25"/>
      </c>
      <c r="AD100" s="412">
        <f t="shared" si="26"/>
      </c>
      <c r="AE100" s="412">
        <f t="shared" si="27"/>
      </c>
      <c r="AF100" s="412">
        <f t="shared" si="28"/>
      </c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</row>
    <row r="101" spans="1:43" s="483" customFormat="1" ht="12.75" customHeight="1">
      <c r="A101" s="4"/>
      <c r="B101" s="5"/>
      <c r="C101" s="29">
        <v>3</v>
      </c>
      <c r="D101" s="877">
        <f t="shared" si="19"/>
      </c>
      <c r="E101" s="878"/>
      <c r="F101" s="878"/>
      <c r="G101" s="879"/>
      <c r="H101" s="64">
        <f t="shared" si="20"/>
      </c>
      <c r="I101" s="447">
        <f t="shared" si="29"/>
      </c>
      <c r="J101" s="447">
        <f t="shared" si="21"/>
      </c>
      <c r="K101" s="5"/>
      <c r="L101" s="288"/>
      <c r="M101" s="288"/>
      <c r="N101" s="288"/>
      <c r="O101" s="288"/>
      <c r="P101" s="286"/>
      <c r="Q101" s="412" t="str">
        <f t="shared" si="22"/>
        <v>CAPINI_</v>
      </c>
      <c r="R101" s="416"/>
      <c r="S101" s="402"/>
      <c r="T101" s="402"/>
      <c r="U101" s="402"/>
      <c r="V101" s="414">
        <f t="shared" si="30"/>
        <v>1</v>
      </c>
      <c r="W101" s="402"/>
      <c r="X101" s="421">
        <f>SUMIF(C_MergerSplitTransfer!$U$9:$U$68,$Q101,CHOOSE($V101,C_MergerSplitTransfer!I$9:I$68,C_MergerSplitTransfer!L$9:L$68))</f>
        <v>0</v>
      </c>
      <c r="Y101" s="421">
        <f>SUMIF(C_MergerSplitTransfer!$U$9:$U$68,$Q101,CHOOSE($V101,C_MergerSplitTransfer!J$9:J$68,C_MergerSplitTransfer!M$9:M$68))</f>
        <v>0</v>
      </c>
      <c r="Z101" s="384"/>
      <c r="AA101" s="412">
        <f t="shared" si="23"/>
      </c>
      <c r="AB101" s="412">
        <f t="shared" si="24"/>
      </c>
      <c r="AC101" s="412">
        <f t="shared" si="25"/>
      </c>
      <c r="AD101" s="412">
        <f t="shared" si="26"/>
      </c>
      <c r="AE101" s="412">
        <f t="shared" si="27"/>
      </c>
      <c r="AF101" s="412">
        <f t="shared" si="28"/>
      </c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</row>
    <row r="102" spans="1:43" s="483" customFormat="1" ht="12.75" customHeight="1">
      <c r="A102" s="4"/>
      <c r="B102" s="5"/>
      <c r="C102" s="29">
        <v>4</v>
      </c>
      <c r="D102" s="877">
        <f t="shared" si="19"/>
      </c>
      <c r="E102" s="878"/>
      <c r="F102" s="878"/>
      <c r="G102" s="879"/>
      <c r="H102" s="64">
        <f t="shared" si="20"/>
      </c>
      <c r="I102" s="447">
        <f t="shared" si="29"/>
      </c>
      <c r="J102" s="447">
        <f t="shared" si="21"/>
      </c>
      <c r="K102" s="5"/>
      <c r="L102" s="288"/>
      <c r="M102" s="288"/>
      <c r="N102" s="288"/>
      <c r="O102" s="288"/>
      <c r="P102" s="286"/>
      <c r="Q102" s="412" t="str">
        <f t="shared" si="22"/>
        <v>CAPINI_</v>
      </c>
      <c r="R102" s="416"/>
      <c r="S102" s="402"/>
      <c r="T102" s="402"/>
      <c r="U102" s="402"/>
      <c r="V102" s="414">
        <f t="shared" si="30"/>
        <v>1</v>
      </c>
      <c r="W102" s="402"/>
      <c r="X102" s="421">
        <f>SUMIF(C_MergerSplitTransfer!$U$9:$U$68,$Q102,CHOOSE($V102,C_MergerSplitTransfer!I$9:I$68,C_MergerSplitTransfer!L$9:L$68))</f>
        <v>0</v>
      </c>
      <c r="Y102" s="421">
        <f>SUMIF(C_MergerSplitTransfer!$U$9:$U$68,$Q102,CHOOSE($V102,C_MergerSplitTransfer!J$9:J$68,C_MergerSplitTransfer!M$9:M$68))</f>
        <v>0</v>
      </c>
      <c r="Z102" s="384"/>
      <c r="AA102" s="412">
        <f t="shared" si="23"/>
      </c>
      <c r="AB102" s="412">
        <f t="shared" si="24"/>
      </c>
      <c r="AC102" s="412">
        <f t="shared" si="25"/>
      </c>
      <c r="AD102" s="412">
        <f t="shared" si="26"/>
      </c>
      <c r="AE102" s="412">
        <f t="shared" si="27"/>
      </c>
      <c r="AF102" s="412">
        <f t="shared" si="28"/>
      </c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</row>
    <row r="103" spans="1:43" s="483" customFormat="1" ht="12.75" customHeight="1">
      <c r="A103" s="4"/>
      <c r="B103" s="5"/>
      <c r="C103" s="29">
        <v>5</v>
      </c>
      <c r="D103" s="877">
        <f t="shared" si="19"/>
      </c>
      <c r="E103" s="878"/>
      <c r="F103" s="878"/>
      <c r="G103" s="879"/>
      <c r="H103" s="64">
        <f t="shared" si="20"/>
      </c>
      <c r="I103" s="447">
        <f t="shared" si="29"/>
      </c>
      <c r="J103" s="447">
        <f t="shared" si="21"/>
      </c>
      <c r="K103" s="5"/>
      <c r="L103" s="288"/>
      <c r="M103" s="288"/>
      <c r="N103" s="342"/>
      <c r="O103" s="288"/>
      <c r="P103" s="286"/>
      <c r="Q103" s="412" t="str">
        <f t="shared" si="22"/>
        <v>CAPINI_</v>
      </c>
      <c r="R103" s="416"/>
      <c r="S103" s="402"/>
      <c r="T103" s="402"/>
      <c r="U103" s="402"/>
      <c r="V103" s="414">
        <f t="shared" si="30"/>
        <v>1</v>
      </c>
      <c r="W103" s="402"/>
      <c r="X103" s="421">
        <f>SUMIF(C_MergerSplitTransfer!$U$9:$U$68,$Q103,CHOOSE($V103,C_MergerSplitTransfer!I$9:I$68,C_MergerSplitTransfer!L$9:L$68))</f>
        <v>0</v>
      </c>
      <c r="Y103" s="421">
        <f>SUMIF(C_MergerSplitTransfer!$U$9:$U$68,$Q103,CHOOSE($V103,C_MergerSplitTransfer!J$9:J$68,C_MergerSplitTransfer!M$9:M$68))</f>
        <v>0</v>
      </c>
      <c r="Z103" s="384"/>
      <c r="AA103" s="412">
        <f t="shared" si="23"/>
      </c>
      <c r="AB103" s="412">
        <f t="shared" si="24"/>
      </c>
      <c r="AC103" s="412">
        <f t="shared" si="25"/>
      </c>
      <c r="AD103" s="412">
        <f t="shared" si="26"/>
      </c>
      <c r="AE103" s="412">
        <f t="shared" si="27"/>
      </c>
      <c r="AF103" s="412">
        <f t="shared" si="28"/>
      </c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</row>
    <row r="104" spans="1:43" s="483" customFormat="1" ht="12.75" customHeight="1">
      <c r="A104" s="4"/>
      <c r="B104" s="5"/>
      <c r="C104" s="29">
        <v>6</v>
      </c>
      <c r="D104" s="877">
        <f t="shared" si="19"/>
      </c>
      <c r="E104" s="878"/>
      <c r="F104" s="878"/>
      <c r="G104" s="879"/>
      <c r="H104" s="64">
        <f t="shared" si="20"/>
      </c>
      <c r="I104" s="447">
        <f t="shared" si="29"/>
      </c>
      <c r="J104" s="447">
        <f t="shared" si="21"/>
      </c>
      <c r="K104" s="5"/>
      <c r="L104" s="288"/>
      <c r="M104" s="288"/>
      <c r="N104" s="288"/>
      <c r="O104" s="288"/>
      <c r="P104" s="9"/>
      <c r="Q104" s="412" t="str">
        <f t="shared" si="22"/>
        <v>CAPINI_</v>
      </c>
      <c r="R104" s="416"/>
      <c r="S104" s="402"/>
      <c r="T104" s="402"/>
      <c r="U104" s="402"/>
      <c r="V104" s="414">
        <f t="shared" si="30"/>
        <v>1</v>
      </c>
      <c r="W104" s="402"/>
      <c r="X104" s="421">
        <f>SUMIF(C_MergerSplitTransfer!$U$9:$U$68,$Q104,CHOOSE($V104,C_MergerSplitTransfer!I$9:I$68,C_MergerSplitTransfer!L$9:L$68))</f>
        <v>0</v>
      </c>
      <c r="Y104" s="421">
        <f>SUMIF(C_MergerSplitTransfer!$U$9:$U$68,$Q104,CHOOSE($V104,C_MergerSplitTransfer!J$9:J$68,C_MergerSplitTransfer!M$9:M$68))</f>
        <v>0</v>
      </c>
      <c r="Z104" s="384"/>
      <c r="AA104" s="412">
        <f t="shared" si="23"/>
      </c>
      <c r="AB104" s="412">
        <f t="shared" si="24"/>
      </c>
      <c r="AC104" s="412">
        <f t="shared" si="25"/>
      </c>
      <c r="AD104" s="412">
        <f t="shared" si="26"/>
      </c>
      <c r="AE104" s="412">
        <f t="shared" si="27"/>
      </c>
      <c r="AF104" s="412">
        <f t="shared" si="28"/>
      </c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</row>
    <row r="105" spans="1:43" s="483" customFormat="1" ht="12.75" customHeight="1">
      <c r="A105" s="4"/>
      <c r="B105" s="5"/>
      <c r="C105" s="29">
        <v>7</v>
      </c>
      <c r="D105" s="877">
        <f t="shared" si="19"/>
      </c>
      <c r="E105" s="878"/>
      <c r="F105" s="878"/>
      <c r="G105" s="879"/>
      <c r="H105" s="64">
        <f t="shared" si="20"/>
      </c>
      <c r="I105" s="447">
        <f t="shared" si="29"/>
      </c>
      <c r="J105" s="447">
        <f t="shared" si="21"/>
      </c>
      <c r="K105" s="5"/>
      <c r="L105" s="288"/>
      <c r="M105" s="288"/>
      <c r="N105" s="288"/>
      <c r="O105" s="288"/>
      <c r="P105" s="9"/>
      <c r="Q105" s="412" t="str">
        <f t="shared" si="22"/>
        <v>CAPINI_</v>
      </c>
      <c r="R105" s="416"/>
      <c r="S105" s="402"/>
      <c r="T105" s="402"/>
      <c r="U105" s="402"/>
      <c r="V105" s="414">
        <f t="shared" si="30"/>
        <v>1</v>
      </c>
      <c r="W105" s="402"/>
      <c r="X105" s="421">
        <f>SUMIF(C_MergerSplitTransfer!$U$9:$U$68,$Q105,CHOOSE($V105,C_MergerSplitTransfer!I$9:I$68,C_MergerSplitTransfer!L$9:L$68))</f>
        <v>0</v>
      </c>
      <c r="Y105" s="421">
        <f>SUMIF(C_MergerSplitTransfer!$U$9:$U$68,$Q105,CHOOSE($V105,C_MergerSplitTransfer!J$9:J$68,C_MergerSplitTransfer!M$9:M$68))</f>
        <v>0</v>
      </c>
      <c r="Z105" s="384"/>
      <c r="AA105" s="412">
        <f t="shared" si="23"/>
      </c>
      <c r="AB105" s="412">
        <f t="shared" si="24"/>
      </c>
      <c r="AC105" s="412">
        <f t="shared" si="25"/>
      </c>
      <c r="AD105" s="412">
        <f t="shared" si="26"/>
      </c>
      <c r="AE105" s="412">
        <f t="shared" si="27"/>
      </c>
      <c r="AF105" s="412">
        <f t="shared" si="28"/>
      </c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</row>
    <row r="106" spans="1:43" s="483" customFormat="1" ht="12.75" customHeight="1">
      <c r="A106" s="4"/>
      <c r="B106" s="5"/>
      <c r="C106" s="29">
        <v>8</v>
      </c>
      <c r="D106" s="877">
        <f t="shared" si="19"/>
      </c>
      <c r="E106" s="878"/>
      <c r="F106" s="878"/>
      <c r="G106" s="879"/>
      <c r="H106" s="64">
        <f t="shared" si="20"/>
      </c>
      <c r="I106" s="447">
        <f t="shared" si="29"/>
      </c>
      <c r="J106" s="447">
        <f t="shared" si="21"/>
      </c>
      <c r="K106" s="5"/>
      <c r="L106" s="288"/>
      <c r="M106" s="288"/>
      <c r="N106" s="288"/>
      <c r="O106" s="288"/>
      <c r="P106" s="9"/>
      <c r="Q106" s="412" t="str">
        <f t="shared" si="22"/>
        <v>CAPINI_</v>
      </c>
      <c r="R106" s="416"/>
      <c r="S106" s="402"/>
      <c r="T106" s="402"/>
      <c r="U106" s="402"/>
      <c r="V106" s="414">
        <f t="shared" si="30"/>
        <v>1</v>
      </c>
      <c r="W106" s="402"/>
      <c r="X106" s="421">
        <f>SUMIF(C_MergerSplitTransfer!$U$9:$U$68,$Q106,CHOOSE($V106,C_MergerSplitTransfer!I$9:I$68,C_MergerSplitTransfer!L$9:L$68))</f>
        <v>0</v>
      </c>
      <c r="Y106" s="421">
        <f>SUMIF(C_MergerSplitTransfer!$U$9:$U$68,$Q106,CHOOSE($V106,C_MergerSplitTransfer!J$9:J$68,C_MergerSplitTransfer!M$9:M$68))</f>
        <v>0</v>
      </c>
      <c r="Z106" s="384"/>
      <c r="AA106" s="412">
        <f t="shared" si="23"/>
      </c>
      <c r="AB106" s="412">
        <f t="shared" si="24"/>
      </c>
      <c r="AC106" s="412">
        <f t="shared" si="25"/>
      </c>
      <c r="AD106" s="412">
        <f t="shared" si="26"/>
      </c>
      <c r="AE106" s="412">
        <f t="shared" si="27"/>
      </c>
      <c r="AF106" s="412">
        <f t="shared" si="28"/>
      </c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</row>
    <row r="107" spans="1:43" s="483" customFormat="1" ht="12.75" customHeight="1">
      <c r="A107" s="4"/>
      <c r="B107" s="5"/>
      <c r="C107" s="29">
        <v>9</v>
      </c>
      <c r="D107" s="877">
        <f t="shared" si="19"/>
      </c>
      <c r="E107" s="878"/>
      <c r="F107" s="878"/>
      <c r="G107" s="879"/>
      <c r="H107" s="64">
        <f t="shared" si="20"/>
      </c>
      <c r="I107" s="447">
        <f t="shared" si="29"/>
      </c>
      <c r="J107" s="447">
        <f t="shared" si="21"/>
      </c>
      <c r="K107" s="5"/>
      <c r="L107" s="288"/>
      <c r="M107" s="288"/>
      <c r="N107" s="288"/>
      <c r="O107" s="288"/>
      <c r="P107" s="9"/>
      <c r="Q107" s="412" t="str">
        <f t="shared" si="22"/>
        <v>CAPINI_</v>
      </c>
      <c r="R107" s="416"/>
      <c r="S107" s="402"/>
      <c r="T107" s="402"/>
      <c r="U107" s="402"/>
      <c r="V107" s="414">
        <f t="shared" si="30"/>
        <v>1</v>
      </c>
      <c r="W107" s="402"/>
      <c r="X107" s="421">
        <f>SUMIF(C_MergerSplitTransfer!$U$9:$U$68,$Q107,CHOOSE($V107,C_MergerSplitTransfer!I$9:I$68,C_MergerSplitTransfer!L$9:L$68))</f>
        <v>0</v>
      </c>
      <c r="Y107" s="421">
        <f>SUMIF(C_MergerSplitTransfer!$U$9:$U$68,$Q107,CHOOSE($V107,C_MergerSplitTransfer!J$9:J$68,C_MergerSplitTransfer!M$9:M$68))</f>
        <v>0</v>
      </c>
      <c r="Z107" s="384"/>
      <c r="AA107" s="412">
        <f t="shared" si="23"/>
      </c>
      <c r="AB107" s="412">
        <f t="shared" si="24"/>
      </c>
      <c r="AC107" s="412">
        <f t="shared" si="25"/>
      </c>
      <c r="AD107" s="412">
        <f t="shared" si="26"/>
      </c>
      <c r="AE107" s="412">
        <f t="shared" si="27"/>
      </c>
      <c r="AF107" s="412">
        <f t="shared" si="28"/>
      </c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</row>
    <row r="108" spans="1:43" s="483" customFormat="1" ht="12.75" customHeight="1">
      <c r="A108" s="4"/>
      <c r="B108" s="5"/>
      <c r="C108" s="25">
        <v>10</v>
      </c>
      <c r="D108" s="908">
        <f t="shared" si="19"/>
      </c>
      <c r="E108" s="909"/>
      <c r="F108" s="909"/>
      <c r="G108" s="910"/>
      <c r="H108" s="63">
        <f t="shared" si="20"/>
      </c>
      <c r="I108" s="448">
        <f t="shared" si="29"/>
      </c>
      <c r="J108" s="448">
        <f t="shared" si="21"/>
      </c>
      <c r="K108" s="5"/>
      <c r="L108" s="288"/>
      <c r="M108" s="288"/>
      <c r="N108" s="288"/>
      <c r="O108" s="288"/>
      <c r="P108" s="9"/>
      <c r="Q108" s="412" t="str">
        <f t="shared" si="22"/>
        <v>CAPINI_</v>
      </c>
      <c r="R108" s="416"/>
      <c r="S108" s="402"/>
      <c r="T108" s="402"/>
      <c r="U108" s="402"/>
      <c r="V108" s="414">
        <f t="shared" si="30"/>
        <v>1</v>
      </c>
      <c r="W108" s="402"/>
      <c r="X108" s="421">
        <f>SUMIF(C_MergerSplitTransfer!$U$9:$U$68,$Q108,CHOOSE($V108,C_MergerSplitTransfer!I$9:I$68,C_MergerSplitTransfer!L$9:L$68))</f>
        <v>0</v>
      </c>
      <c r="Y108" s="421">
        <f>SUMIF(C_MergerSplitTransfer!$U$9:$U$68,$Q108,CHOOSE($V108,C_MergerSplitTransfer!J$9:J$68,C_MergerSplitTransfer!M$9:M$68))</f>
        <v>0</v>
      </c>
      <c r="Z108" s="384"/>
      <c r="AA108" s="412">
        <f t="shared" si="23"/>
      </c>
      <c r="AB108" s="412">
        <f t="shared" si="24"/>
      </c>
      <c r="AC108" s="412">
        <f t="shared" si="25"/>
      </c>
      <c r="AD108" s="412">
        <f t="shared" si="26"/>
      </c>
      <c r="AE108" s="412">
        <f t="shared" si="27"/>
      </c>
      <c r="AF108" s="412">
        <f t="shared" si="28"/>
      </c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</row>
    <row r="109" spans="1:43" s="606" customFormat="1" ht="24.75" customHeight="1">
      <c r="A109" s="599"/>
      <c r="B109" s="337"/>
      <c r="C109" s="600">
        <v>11</v>
      </c>
      <c r="D109" s="889" t="str">
        <f aca="true" t="shared" si="31" ref="D109:D114">INDEX(EUconst_FallBackListNames,C109-10)</f>
        <v>Подинсталация с топлинен показател, с риск от изтичане на въглерод</v>
      </c>
      <c r="E109" s="890"/>
      <c r="F109" s="890"/>
      <c r="G109" s="891"/>
      <c r="H109" s="609" t="str">
        <f aca="true" t="shared" si="32" ref="H109:H114">IF(D109&lt;&gt;"",INDEX(EUconst_FallBackListUnits,MATCH($D109,EUconst_FallBackListNames,0))&amp;" / "&amp;EUconst_Year,"")</f>
        <v>TJ / година</v>
      </c>
      <c r="I109" s="610">
        <f t="shared" si="29"/>
      </c>
      <c r="J109" s="610">
        <f t="shared" si="21"/>
      </c>
      <c r="K109" s="337"/>
      <c r="L109" s="360"/>
      <c r="M109" s="360"/>
      <c r="N109" s="360"/>
      <c r="O109" s="360"/>
      <c r="P109" s="373"/>
      <c r="Q109" s="602" t="str">
        <f t="shared" si="22"/>
        <v>CAPINI_Подинсталация с топлинен показател, с риск от изтичане на въглерод</v>
      </c>
      <c r="R109" s="416"/>
      <c r="S109" s="416"/>
      <c r="T109" s="416"/>
      <c r="U109" s="416"/>
      <c r="V109" s="604">
        <f t="shared" si="30"/>
        <v>1</v>
      </c>
      <c r="W109" s="416"/>
      <c r="X109" s="611">
        <f>SUMIF(C_MergerSplitTransfer!$U$9:$U$68,$Q109,CHOOSE($V109,C_MergerSplitTransfer!I$9:I$68,C_MergerSplitTransfer!L$9:L$68))</f>
        <v>0</v>
      </c>
      <c r="Y109" s="611">
        <f>SUMIF(C_MergerSplitTransfer!$U$9:$U$68,$Q109,CHOOSE($V109,C_MergerSplitTransfer!J$9:J$68,C_MergerSplitTransfer!M$9:M$68))</f>
        <v>0</v>
      </c>
      <c r="Z109" s="603"/>
      <c r="AA109" s="602" t="b">
        <v>1</v>
      </c>
      <c r="AB109" s="602">
        <f>EUwideConstants!$C$304</f>
        <v>91</v>
      </c>
      <c r="AC109" s="602">
        <f>EUwideConstants!$H$304</f>
        <v>62.3</v>
      </c>
      <c r="AD109" s="602" t="str">
        <f aca="true" t="shared" si="33" ref="AD109:AD114">EUconst_EUA&amp;" / "&amp;AE109</f>
        <v>EUA / TJ</v>
      </c>
      <c r="AE109" s="602" t="str">
        <f>EUconst_TJ</f>
        <v>TJ</v>
      </c>
      <c r="AF109" s="602" t="str">
        <f aca="true" t="shared" si="34" ref="AF109:AF114">AE109&amp;" / "&amp;EUconst_Year</f>
        <v>TJ / година</v>
      </c>
      <c r="AG109" s="603"/>
      <c r="AH109" s="603"/>
      <c r="AI109" s="603"/>
      <c r="AJ109" s="603"/>
      <c r="AK109" s="603"/>
      <c r="AL109" s="603"/>
      <c r="AM109" s="603"/>
      <c r="AN109" s="603"/>
      <c r="AO109" s="603"/>
      <c r="AP109" s="603"/>
      <c r="AQ109" s="603"/>
    </row>
    <row r="110" spans="1:43" s="606" customFormat="1" ht="24.75" customHeight="1">
      <c r="A110" s="599"/>
      <c r="B110" s="337"/>
      <c r="C110" s="600">
        <v>12</v>
      </c>
      <c r="D110" s="886" t="str">
        <f t="shared" si="31"/>
        <v>Подинсталация с топлинен показател, без риск от изтичане на въглерод</v>
      </c>
      <c r="E110" s="887"/>
      <c r="F110" s="887"/>
      <c r="G110" s="888"/>
      <c r="H110" s="612" t="str">
        <f t="shared" si="32"/>
        <v>TJ / година</v>
      </c>
      <c r="I110" s="613">
        <f t="shared" si="29"/>
      </c>
      <c r="J110" s="613">
        <f t="shared" si="21"/>
      </c>
      <c r="K110" s="337"/>
      <c r="L110" s="360"/>
      <c r="M110" s="360"/>
      <c r="N110" s="360"/>
      <c r="O110" s="360"/>
      <c r="P110" s="373"/>
      <c r="Q110" s="602" t="str">
        <f t="shared" si="22"/>
        <v>CAPINI_Подинсталация с топлинен показател, без риск от изтичане на въглерод</v>
      </c>
      <c r="R110" s="416"/>
      <c r="S110" s="416"/>
      <c r="T110" s="416"/>
      <c r="U110" s="416"/>
      <c r="V110" s="604">
        <f t="shared" si="30"/>
        <v>1</v>
      </c>
      <c r="W110" s="416"/>
      <c r="X110" s="611">
        <f>SUMIF(C_MergerSplitTransfer!$U$9:$U$68,$Q110,CHOOSE($V110,C_MergerSplitTransfer!I$9:I$68,C_MergerSplitTransfer!L$9:L$68))</f>
        <v>0</v>
      </c>
      <c r="Y110" s="611">
        <f>SUMIF(C_MergerSplitTransfer!$U$9:$U$68,$Q110,CHOOSE($V110,C_MergerSplitTransfer!J$9:J$68,C_MergerSplitTransfer!M$9:M$68))</f>
        <v>0</v>
      </c>
      <c r="Z110" s="603"/>
      <c r="AA110" s="602" t="b">
        <v>0</v>
      </c>
      <c r="AB110" s="602">
        <f>EUwideConstants!$C$305</f>
        <v>92</v>
      </c>
      <c r="AC110" s="602">
        <f>EUwideConstants!$H$305</f>
        <v>62.3</v>
      </c>
      <c r="AD110" s="602" t="str">
        <f t="shared" si="33"/>
        <v>EUA / TJ</v>
      </c>
      <c r="AE110" s="602" t="str">
        <f>EUconst_TJ</f>
        <v>TJ</v>
      </c>
      <c r="AF110" s="602" t="str">
        <f t="shared" si="34"/>
        <v>TJ / година</v>
      </c>
      <c r="AG110" s="603"/>
      <c r="AH110" s="603"/>
      <c r="AI110" s="603"/>
      <c r="AJ110" s="603"/>
      <c r="AK110" s="603"/>
      <c r="AL110" s="603"/>
      <c r="AM110" s="603"/>
      <c r="AN110" s="603"/>
      <c r="AO110" s="603"/>
      <c r="AP110" s="603"/>
      <c r="AQ110" s="603"/>
    </row>
    <row r="111" spans="1:43" s="606" customFormat="1" ht="24.75" customHeight="1">
      <c r="A111" s="599"/>
      <c r="B111" s="337"/>
      <c r="C111" s="600">
        <v>13</v>
      </c>
      <c r="D111" s="886" t="str">
        <f t="shared" si="31"/>
        <v>Подинсталация с горивен показател, с риск от изтичане на въглерод</v>
      </c>
      <c r="E111" s="887"/>
      <c r="F111" s="887"/>
      <c r="G111" s="888"/>
      <c r="H111" s="612" t="str">
        <f t="shared" si="32"/>
        <v>TJ / година</v>
      </c>
      <c r="I111" s="613">
        <f t="shared" si="29"/>
      </c>
      <c r="J111" s="613">
        <f t="shared" si="21"/>
      </c>
      <c r="K111" s="337"/>
      <c r="L111" s="360"/>
      <c r="M111" s="360"/>
      <c r="N111" s="360"/>
      <c r="O111" s="360"/>
      <c r="P111" s="373"/>
      <c r="Q111" s="602" t="str">
        <f t="shared" si="22"/>
        <v>CAPINI_Подинсталация с горивен показател, с риск от изтичане на въглерод</v>
      </c>
      <c r="R111" s="416"/>
      <c r="S111" s="416"/>
      <c r="T111" s="416"/>
      <c r="U111" s="416"/>
      <c r="V111" s="604">
        <f t="shared" si="30"/>
        <v>1</v>
      </c>
      <c r="W111" s="416"/>
      <c r="X111" s="611">
        <f>SUMIF(C_MergerSplitTransfer!$U$9:$U$68,$Q111,CHOOSE($V111,C_MergerSplitTransfer!I$9:I$68,C_MergerSplitTransfer!L$9:L$68))</f>
        <v>0</v>
      </c>
      <c r="Y111" s="611">
        <f>SUMIF(C_MergerSplitTransfer!$U$9:$U$68,$Q111,CHOOSE($V111,C_MergerSplitTransfer!J$9:J$68,C_MergerSplitTransfer!M$9:M$68))</f>
        <v>0</v>
      </c>
      <c r="Z111" s="603"/>
      <c r="AA111" s="602" t="b">
        <v>1</v>
      </c>
      <c r="AB111" s="602">
        <f>EUwideConstants!$C$306</f>
        <v>93</v>
      </c>
      <c r="AC111" s="602">
        <f>EUwideConstants!$H$306</f>
        <v>56.1</v>
      </c>
      <c r="AD111" s="602" t="str">
        <f t="shared" si="33"/>
        <v>EUA / TJ</v>
      </c>
      <c r="AE111" s="602" t="str">
        <f>EUconst_TJ</f>
        <v>TJ</v>
      </c>
      <c r="AF111" s="602" t="str">
        <f t="shared" si="34"/>
        <v>TJ / година</v>
      </c>
      <c r="AG111" s="603"/>
      <c r="AH111" s="603"/>
      <c r="AI111" s="603"/>
      <c r="AJ111" s="603"/>
      <c r="AK111" s="603"/>
      <c r="AL111" s="603"/>
      <c r="AM111" s="603"/>
      <c r="AN111" s="603"/>
      <c r="AO111" s="603"/>
      <c r="AP111" s="603"/>
      <c r="AQ111" s="603"/>
    </row>
    <row r="112" spans="1:43" s="606" customFormat="1" ht="24.75" customHeight="1">
      <c r="A112" s="599"/>
      <c r="B112" s="337"/>
      <c r="C112" s="600">
        <v>14</v>
      </c>
      <c r="D112" s="886" t="str">
        <f t="shared" si="31"/>
        <v>Подинсталация с горивен показател, без риск от изтичане на въглерод</v>
      </c>
      <c r="E112" s="887"/>
      <c r="F112" s="887"/>
      <c r="G112" s="888"/>
      <c r="H112" s="612" t="str">
        <f t="shared" si="32"/>
        <v>TJ / година</v>
      </c>
      <c r="I112" s="613">
        <f t="shared" si="29"/>
      </c>
      <c r="J112" s="613">
        <f t="shared" si="21"/>
      </c>
      <c r="K112" s="337"/>
      <c r="L112" s="360"/>
      <c r="M112" s="360"/>
      <c r="N112" s="360"/>
      <c r="O112" s="360"/>
      <c r="P112" s="373"/>
      <c r="Q112" s="602" t="str">
        <f t="shared" si="22"/>
        <v>CAPINI_Подинсталация с горивен показател, без риск от изтичане на въглерод</v>
      </c>
      <c r="R112" s="416"/>
      <c r="S112" s="416"/>
      <c r="T112" s="416"/>
      <c r="U112" s="416"/>
      <c r="V112" s="604">
        <f t="shared" si="30"/>
        <v>1</v>
      </c>
      <c r="W112" s="416"/>
      <c r="X112" s="611">
        <f>SUMIF(C_MergerSplitTransfer!$U$9:$U$68,$Q112,CHOOSE($V112,C_MergerSplitTransfer!I$9:I$68,C_MergerSplitTransfer!L$9:L$68))</f>
        <v>0</v>
      </c>
      <c r="Y112" s="611">
        <f>SUMIF(C_MergerSplitTransfer!$U$9:$U$68,$Q112,CHOOSE($V112,C_MergerSplitTransfer!J$9:J$68,C_MergerSplitTransfer!M$9:M$68))</f>
        <v>0</v>
      </c>
      <c r="Z112" s="603"/>
      <c r="AA112" s="602" t="b">
        <v>0</v>
      </c>
      <c r="AB112" s="602">
        <f>EUwideConstants!$C$307</f>
        <v>94</v>
      </c>
      <c r="AC112" s="602">
        <f>EUwideConstants!$H$307</f>
        <v>56.1</v>
      </c>
      <c r="AD112" s="602" t="str">
        <f t="shared" si="33"/>
        <v>EUA / TJ</v>
      </c>
      <c r="AE112" s="602" t="str">
        <f>EUconst_TJ</f>
        <v>TJ</v>
      </c>
      <c r="AF112" s="602" t="str">
        <f t="shared" si="34"/>
        <v>TJ / година</v>
      </c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</row>
    <row r="113" spans="1:43" s="606" customFormat="1" ht="24.75" customHeight="1">
      <c r="A113" s="599"/>
      <c r="B113" s="337"/>
      <c r="C113" s="600">
        <v>15</v>
      </c>
      <c r="D113" s="886" t="str">
        <f t="shared" si="31"/>
        <v>Подинсталация с технологични емисии, с риск от изтичане на въглерод</v>
      </c>
      <c r="E113" s="887"/>
      <c r="F113" s="887"/>
      <c r="G113" s="888"/>
      <c r="H113" s="612" t="str">
        <f t="shared" si="32"/>
        <v>t CO2e / година</v>
      </c>
      <c r="I113" s="613">
        <f t="shared" si="29"/>
      </c>
      <c r="J113" s="613">
        <f t="shared" si="21"/>
      </c>
      <c r="K113" s="337"/>
      <c r="L113" s="360"/>
      <c r="M113" s="360"/>
      <c r="N113" s="360"/>
      <c r="O113" s="360"/>
      <c r="P113" s="373"/>
      <c r="Q113" s="602" t="str">
        <f t="shared" si="22"/>
        <v>CAPINI_Подинсталация с технологични емисии, с риск от изтичане на въглерод</v>
      </c>
      <c r="R113" s="416"/>
      <c r="S113" s="416"/>
      <c r="T113" s="416"/>
      <c r="U113" s="416"/>
      <c r="V113" s="604">
        <f t="shared" si="30"/>
        <v>1</v>
      </c>
      <c r="W113" s="416"/>
      <c r="X113" s="611">
        <f>SUMIF(C_MergerSplitTransfer!$U$9:$U$68,$Q113,CHOOSE($V113,C_MergerSplitTransfer!I$9:I$68,C_MergerSplitTransfer!L$9:L$68))</f>
        <v>0</v>
      </c>
      <c r="Y113" s="611">
        <f>SUMIF(C_MergerSplitTransfer!$U$9:$U$68,$Q113,CHOOSE($V113,C_MergerSplitTransfer!J$9:J$68,C_MergerSplitTransfer!M$9:M$68))</f>
        <v>0</v>
      </c>
      <c r="Z113" s="603"/>
      <c r="AA113" s="602" t="b">
        <v>1</v>
      </c>
      <c r="AB113" s="602">
        <f>EUwideConstants!$C$308</f>
        <v>95</v>
      </c>
      <c r="AC113" s="602">
        <f>EUwideConstants!$H$308</f>
        <v>0.97</v>
      </c>
      <c r="AD113" s="602" t="str">
        <f t="shared" si="33"/>
        <v>EUA / t CO2e</v>
      </c>
      <c r="AE113" s="602" t="str">
        <f>EUconst_tCO2e</f>
        <v>t CO2e</v>
      </c>
      <c r="AF113" s="602" t="str">
        <f t="shared" si="34"/>
        <v>t CO2e / година</v>
      </c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</row>
    <row r="114" spans="1:43" s="606" customFormat="1" ht="24.75" customHeight="1" thickBot="1">
      <c r="A114" s="599"/>
      <c r="B114" s="337"/>
      <c r="C114" s="614">
        <v>16</v>
      </c>
      <c r="D114" s="880" t="str">
        <f t="shared" si="31"/>
        <v>Подинсталация с технологични емисии, без риск от изтичане на въглерод</v>
      </c>
      <c r="E114" s="881"/>
      <c r="F114" s="881"/>
      <c r="G114" s="882"/>
      <c r="H114" s="615" t="str">
        <f t="shared" si="32"/>
        <v>t CO2e / година</v>
      </c>
      <c r="I114" s="616">
        <f t="shared" si="29"/>
      </c>
      <c r="J114" s="616">
        <f t="shared" si="21"/>
      </c>
      <c r="K114" s="337"/>
      <c r="L114" s="360"/>
      <c r="M114" s="360"/>
      <c r="N114" s="360"/>
      <c r="O114" s="360"/>
      <c r="P114" s="373"/>
      <c r="Q114" s="602" t="str">
        <f t="shared" si="22"/>
        <v>CAPINI_Подинсталация с технологични емисии, без риск от изтичане на въглерод</v>
      </c>
      <c r="R114" s="416"/>
      <c r="S114" s="416"/>
      <c r="T114" s="416"/>
      <c r="U114" s="416"/>
      <c r="V114" s="617">
        <f t="shared" si="30"/>
        <v>1</v>
      </c>
      <c r="W114" s="416"/>
      <c r="X114" s="611">
        <f>SUMIF(C_MergerSplitTransfer!$U$9:$U$68,$Q114,CHOOSE($V114,C_MergerSplitTransfer!I$9:I$68,C_MergerSplitTransfer!L$9:L$68))</f>
        <v>0</v>
      </c>
      <c r="Y114" s="611">
        <f>SUMIF(C_MergerSplitTransfer!$U$9:$U$68,$Q114,CHOOSE($V114,C_MergerSplitTransfer!J$9:J$68,C_MergerSplitTransfer!M$9:M$68))</f>
        <v>0</v>
      </c>
      <c r="Z114" s="603"/>
      <c r="AA114" s="602" t="b">
        <v>0</v>
      </c>
      <c r="AB114" s="602">
        <f>EUwideConstants!$C$309</f>
        <v>96</v>
      </c>
      <c r="AC114" s="602">
        <f>EUwideConstants!$H$309</f>
        <v>0.97</v>
      </c>
      <c r="AD114" s="602" t="str">
        <f t="shared" si="33"/>
        <v>EUA / t CO2e</v>
      </c>
      <c r="AE114" s="602" t="str">
        <f>EUconst_tCO2e</f>
        <v>t CO2e</v>
      </c>
      <c r="AF114" s="602" t="str">
        <f t="shared" si="34"/>
        <v>t CO2e / година</v>
      </c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</row>
    <row r="115" spans="1:43" s="483" customFormat="1" ht="12.75" customHeight="1">
      <c r="A115" s="4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9"/>
      <c r="N115" s="9"/>
      <c r="O115" s="280"/>
      <c r="P115" s="9"/>
      <c r="Q115" s="402"/>
      <c r="R115" s="416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</row>
    <row r="116" spans="1:43" s="483" customFormat="1" ht="12.75" customHeight="1" thickBot="1">
      <c r="A116" s="4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9"/>
      <c r="N116" s="9"/>
      <c r="O116" s="280"/>
      <c r="P116" s="9"/>
      <c r="Q116" s="402"/>
      <c r="R116" s="416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</row>
    <row r="117" spans="1:43" s="486" customFormat="1" ht="15" customHeight="1" thickBot="1">
      <c r="A117" s="207"/>
      <c r="B117" s="208"/>
      <c r="C117" s="509">
        <v>2</v>
      </c>
      <c r="D117" s="1003" t="str">
        <f>Translations!$B$460</f>
        <v>Индикативно очаквано крайно количество безплатни квоти:</v>
      </c>
      <c r="E117" s="1003"/>
      <c r="F117" s="1003"/>
      <c r="G117" s="1003"/>
      <c r="H117" s="1003"/>
      <c r="I117" s="1003"/>
      <c r="J117" s="1003"/>
      <c r="K117" s="1004"/>
      <c r="L117" s="1005">
        <f>CHOOSE(C117,$J$20,$J$24)</f>
      </c>
      <c r="M117" s="1006"/>
      <c r="N117" s="1007"/>
      <c r="O117" s="209"/>
      <c r="P117" s="209"/>
      <c r="Q117" s="454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06"/>
      <c r="AJ117" s="406"/>
      <c r="AK117" s="406"/>
      <c r="AL117" s="406"/>
      <c r="AM117" s="406"/>
      <c r="AN117" s="406"/>
      <c r="AO117" s="406"/>
      <c r="AP117" s="406"/>
      <c r="AQ117" s="406"/>
    </row>
    <row r="118" spans="1:43" s="483" customFormat="1" ht="24.75" customHeight="1">
      <c r="A118" s="4"/>
      <c r="B118" s="5"/>
      <c r="C118" s="510"/>
      <c r="D118" s="948" t="str">
        <f>Translations!$B$625</f>
        <v>Изписаните тук количества отразяват изчислението на окончателното общо количество безплатно предоставяни квоти за инсталацията, за която се подава настоящата заявка.</v>
      </c>
      <c r="E118" s="948"/>
      <c r="F118" s="948"/>
      <c r="G118" s="948"/>
      <c r="H118" s="948"/>
      <c r="I118" s="948"/>
      <c r="J118" s="948"/>
      <c r="K118" s="948"/>
      <c r="L118" s="948"/>
      <c r="M118" s="948"/>
      <c r="N118" s="948"/>
      <c r="O118" s="9"/>
      <c r="P118" s="9"/>
      <c r="Q118" s="402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</row>
    <row r="119" spans="1:43" s="483" customFormat="1" ht="25.5" customHeight="1">
      <c r="A119" s="4"/>
      <c r="B119" s="5"/>
      <c r="C119" s="510"/>
      <c r="D119" s="949" t="str">
        <f>Translations!$B$626</f>
        <v>Забележка: изписаните тук количества отразяват разпределението на квоти за другата участваща инсталация и имат значение  само в случаите на разделяния или прехвърляния на части от инсталации. Тези количества се изписват само за пълнота.</v>
      </c>
      <c r="E119" s="949"/>
      <c r="F119" s="949"/>
      <c r="G119" s="949"/>
      <c r="H119" s="949"/>
      <c r="I119" s="949"/>
      <c r="J119" s="949"/>
      <c r="K119" s="949"/>
      <c r="L119" s="949"/>
      <c r="M119" s="949"/>
      <c r="N119" s="949"/>
      <c r="O119" s="9"/>
      <c r="P119" s="9"/>
      <c r="Q119" s="402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</row>
    <row r="120" spans="1:43" s="483" customFormat="1" ht="4.5" customHeight="1">
      <c r="A120" s="4"/>
      <c r="B120" s="5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9"/>
      <c r="P120" s="9"/>
      <c r="Q120" s="402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</row>
    <row r="121" spans="1:43" s="483" customFormat="1" ht="12.75" customHeight="1" thickBot="1">
      <c r="A121" s="4"/>
      <c r="B121" s="5"/>
      <c r="C121" s="511"/>
      <c r="D121" s="967" t="str">
        <f>Translations!$B$402</f>
        <v>Подинсталация</v>
      </c>
      <c r="E121" s="968"/>
      <c r="F121" s="969"/>
      <c r="G121" s="512">
        <v>2013</v>
      </c>
      <c r="H121" s="512">
        <v>2014</v>
      </c>
      <c r="I121" s="512">
        <v>2015</v>
      </c>
      <c r="J121" s="512">
        <v>2016</v>
      </c>
      <c r="K121" s="512">
        <v>2017</v>
      </c>
      <c r="L121" s="512">
        <v>2018</v>
      </c>
      <c r="M121" s="512">
        <v>2019</v>
      </c>
      <c r="N121" s="512">
        <v>2020</v>
      </c>
      <c r="O121" s="288"/>
      <c r="P121" s="286"/>
      <c r="Q121" s="402"/>
      <c r="R121" s="384"/>
      <c r="S121" s="384"/>
      <c r="T121" s="410" t="s">
        <v>487</v>
      </c>
      <c r="U121" s="384"/>
      <c r="V121" s="410" t="s">
        <v>532</v>
      </c>
      <c r="W121" s="384"/>
      <c r="X121" s="385">
        <v>1</v>
      </c>
      <c r="Y121" s="386">
        <v>2013</v>
      </c>
      <c r="Z121" s="386">
        <v>2014</v>
      </c>
      <c r="AA121" s="386">
        <v>2015</v>
      </c>
      <c r="AB121" s="386">
        <v>2016</v>
      </c>
      <c r="AC121" s="386">
        <v>2017</v>
      </c>
      <c r="AD121" s="386">
        <v>2018</v>
      </c>
      <c r="AE121" s="386">
        <v>2019</v>
      </c>
      <c r="AF121" s="386">
        <v>2020</v>
      </c>
      <c r="AG121" s="384"/>
      <c r="AH121" s="385">
        <v>2</v>
      </c>
      <c r="AI121" s="386">
        <v>2013</v>
      </c>
      <c r="AJ121" s="386">
        <v>2014</v>
      </c>
      <c r="AK121" s="386">
        <v>2015</v>
      </c>
      <c r="AL121" s="386">
        <v>2016</v>
      </c>
      <c r="AM121" s="386">
        <v>2017</v>
      </c>
      <c r="AN121" s="386">
        <v>2018</v>
      </c>
      <c r="AO121" s="386">
        <v>2019</v>
      </c>
      <c r="AP121" s="386">
        <v>2020</v>
      </c>
      <c r="AQ121" s="384"/>
    </row>
    <row r="122" spans="1:43" s="483" customFormat="1" ht="12.75" customHeight="1" thickBot="1">
      <c r="A122" s="4"/>
      <c r="B122" s="5"/>
      <c r="C122" s="513">
        <v>0</v>
      </c>
      <c r="D122" s="970" t="str">
        <f>Translations!$B$501</f>
        <v>Етап преди започване</v>
      </c>
      <c r="E122" s="971"/>
      <c r="F122" s="972"/>
      <c r="G122" s="514">
        <f>IF(SUM(IF(ISERROR(Y122),0,Y122),IF(ISERROR(AI122),0,AI122))=0,"",ROUND(SUM(IF(ISERROR(Y122),0,Y122),IF(ISERROR(AI122),0,AI122)),0))</f>
      </c>
      <c r="H122" s="514">
        <f aca="true" t="shared" si="35" ref="H122:H139">IF(SUM(IF(ISERROR(Z122),0,Z122),IF(ISERROR(AJ122),0,AJ122))=0,"",ROUND(SUM(IF(ISERROR(Z122),0,Z122),IF(ISERROR(AJ122),0,AJ122)),0))</f>
      </c>
      <c r="I122" s="514">
        <f aca="true" t="shared" si="36" ref="I122:I139">IF(SUM(IF(ISERROR(AA122),0,AA122),IF(ISERROR(AK122),0,AK122))=0,"",ROUND(SUM(IF(ISERROR(AA122),0,AA122),IF(ISERROR(AK122),0,AK122)),0))</f>
      </c>
      <c r="J122" s="514">
        <f aca="true" t="shared" si="37" ref="J122:J139">IF(SUM(IF(ISERROR(AB122),0,AB122),IF(ISERROR(AL122),0,AL122))=0,"",ROUND(SUM(IF(ISERROR(AB122),0,AB122),IF(ISERROR(AL122),0,AL122)),0))</f>
      </c>
      <c r="K122" s="514">
        <f aca="true" t="shared" si="38" ref="K122:K139">IF(SUM(IF(ISERROR(AC122),0,AC122),IF(ISERROR(AM122),0,AM122))=0,"",ROUND(SUM(IF(ISERROR(AC122),0,AC122),IF(ISERROR(AM122),0,AM122)),0))</f>
      </c>
      <c r="L122" s="514">
        <f aca="true" t="shared" si="39" ref="L122:L139">IF(SUM(IF(ISERROR(AD122),0,AD122),IF(ISERROR(AN122),0,AN122))=0,"",ROUND(SUM(IF(ISERROR(AD122),0,AD122),IF(ISERROR(AN122),0,AN122)),0))</f>
      </c>
      <c r="M122" s="514">
        <f aca="true" t="shared" si="40" ref="M122:M139">IF(SUM(IF(ISERROR(AE122),0,AE122),IF(ISERROR(AO122),0,AO122))=0,"",ROUND(SUM(IF(ISERROR(AE122),0,AE122),IF(ISERROR(AO122),0,AO122)),0))</f>
      </c>
      <c r="N122" s="514">
        <f aca="true" t="shared" si="41" ref="N122:N139">IF(SUM(IF(ISERROR(AF122),0,AF122),IF(ISERROR(AP122),0,AP122))=0,"",ROUND(SUM(IF(ISERROR(AF122),0,AF122),IF(ISERROR(AP122),0,AP122)),0))</f>
      </c>
      <c r="O122" s="342"/>
      <c r="P122" s="286"/>
      <c r="Q122" s="412" t="str">
        <f aca="true" t="shared" si="42" ref="Q122:Q139">EUconst_CNTR_Finitial&amp;1&amp;"_"&amp;$D122</f>
        <v>FInitial_1_Етап преди започване</v>
      </c>
      <c r="R122" s="412" t="str">
        <f aca="true" t="shared" si="43" ref="R122:R139">EUconst_CNTR_Finitial&amp;2&amp;"_"&amp;$D122</f>
        <v>FInitial_2_Етап преди започване</v>
      </c>
      <c r="S122" s="384"/>
      <c r="T122" s="410"/>
      <c r="U122" s="384"/>
      <c r="V122" s="413">
        <f>C117</f>
        <v>2</v>
      </c>
      <c r="W122" s="384"/>
      <c r="X122" s="387">
        <f>INDEX(CHOOSE($V122,C_MergerSplitTransfer!$H$9:$H$68,C_MergerSplitTransfer!$K$9:$K$68),MATCH(Q122,C_MergerSplitTransfer!$T$9:$T$68,0))</f>
      </c>
      <c r="Y122" s="388" t="e">
        <f>IF(Y$75&lt;=CNTR_YearMergerSplit,"",INDEX(B_InitialSituation!G$9:G$153,MATCH($Q122,B_InitialSituation!$Q$9:$Q$153,0))*$X122)</f>
        <v>#VALUE!</v>
      </c>
      <c r="Z122" s="388" t="e">
        <f>IF(Z$75&lt;=CNTR_YearMergerSplit,"",INDEX(B_InitialSituation!H$9:H$153,MATCH($Q122,B_InitialSituation!$Q$9:$Q$153,0))*$X122)</f>
        <v>#VALUE!</v>
      </c>
      <c r="AA122" s="388" t="e">
        <f>IF(AA$75&lt;=CNTR_YearMergerSplit,"",INDEX(B_InitialSituation!I$9:I$153,MATCH($Q122,B_InitialSituation!$Q$9:$Q$153,0))*$X122)</f>
        <v>#VALUE!</v>
      </c>
      <c r="AB122" s="388" t="e">
        <f>IF(AB$75&lt;=CNTR_YearMergerSplit,"",INDEX(B_InitialSituation!J$9:J$153,MATCH($Q122,B_InitialSituation!$Q$9:$Q$153,0))*$X122)</f>
        <v>#VALUE!</v>
      </c>
      <c r="AC122" s="388" t="e">
        <f>IF(AC$75&lt;=CNTR_YearMergerSplit,"",INDEX(B_InitialSituation!K$9:K$153,MATCH($Q122,B_InitialSituation!$Q$9:$Q$153,0))*$X122)</f>
        <v>#VALUE!</v>
      </c>
      <c r="AD122" s="388" t="e">
        <f>IF(AD$75&lt;=CNTR_YearMergerSplit,"",INDEX(B_InitialSituation!L$9:L$153,MATCH($Q122,B_InitialSituation!$Q$9:$Q$153,0))*$X122)</f>
        <v>#VALUE!</v>
      </c>
      <c r="AE122" s="388" t="e">
        <f>IF(AE$75&lt;=CNTR_YearMergerSplit,"",INDEX(B_InitialSituation!M$9:M$153,MATCH($Q122,B_InitialSituation!$Q$9:$Q$153,0))*$X122)</f>
        <v>#VALUE!</v>
      </c>
      <c r="AF122" s="388" t="e">
        <f>IF(AF$75&lt;=CNTR_YearMergerSplit,"",INDEX(B_InitialSituation!N$9:N$153,MATCH($Q122,B_InitialSituation!$Q$9:$Q$153,0))*$X122)</f>
        <v>#VALUE!</v>
      </c>
      <c r="AG122" s="384"/>
      <c r="AH122" s="387">
        <f>INDEX(CHOOSE($V122,C_MergerSplitTransfer!$H$9:$H$68,C_MergerSplitTransfer!$K$9:$K$68),MATCH(R122,C_MergerSplitTransfer!$T$9:$T$68,0))</f>
      </c>
      <c r="AI122" s="388" t="e">
        <f>IF(AI$75&lt;=CNTR_YearMergerSplit,"",INDEX(B_InitialSituation!G$9:G$153,MATCH($R122,B_InitialSituation!$Q$9:$Q$153,0))*$AH122)</f>
        <v>#VALUE!</v>
      </c>
      <c r="AJ122" s="388" t="e">
        <f>IF(AJ$75&lt;=CNTR_YearMergerSplit,"",INDEX(B_InitialSituation!H$9:H$153,MATCH($R122,B_InitialSituation!$Q$9:$Q$153,0))*$AH122)</f>
        <v>#VALUE!</v>
      </c>
      <c r="AK122" s="388" t="e">
        <f>IF(AK$75&lt;=CNTR_YearMergerSplit,"",INDEX(B_InitialSituation!I$9:I$153,MATCH($R122,B_InitialSituation!$Q$9:$Q$153,0))*$AH122)</f>
        <v>#VALUE!</v>
      </c>
      <c r="AL122" s="388" t="e">
        <f>IF(AL$75&lt;=CNTR_YearMergerSplit,"",INDEX(B_InitialSituation!J$9:J$153,MATCH($R122,B_InitialSituation!$Q$9:$Q$153,0))*$AH122)</f>
        <v>#VALUE!</v>
      </c>
      <c r="AM122" s="388" t="e">
        <f>IF(AM$75&lt;=CNTR_YearMergerSplit,"",INDEX(B_InitialSituation!K$9:K$153,MATCH($R122,B_InitialSituation!$Q$9:$Q$153,0))*$AH122)</f>
        <v>#VALUE!</v>
      </c>
      <c r="AN122" s="388" t="e">
        <f>IF(AN$75&lt;=CNTR_YearMergerSplit,"",INDEX(B_InitialSituation!L$9:L$153,MATCH($R122,B_InitialSituation!$Q$9:$Q$153,0))*$AH122)</f>
        <v>#VALUE!</v>
      </c>
      <c r="AO122" s="388" t="e">
        <f>IF(AO$75&lt;=CNTR_YearMergerSplit,"",INDEX(B_InitialSituation!M$9:M$153,MATCH($R122,B_InitialSituation!$Q$9:$Q$153,0))*$AH122)</f>
        <v>#VALUE!</v>
      </c>
      <c r="AP122" s="388" t="e">
        <f>IF(AP$75&lt;=CNTR_YearMergerSplit,"",INDEX(B_InitialSituation!N$9:N$153,MATCH($R122,B_InitialSituation!$Q$9:$Q$153,0))*$AH122)</f>
        <v>#VALUE!</v>
      </c>
      <c r="AQ122" s="384"/>
    </row>
    <row r="123" spans="1:43" s="483" customFormat="1" ht="12.75" customHeight="1">
      <c r="A123" s="4"/>
      <c r="B123" s="5"/>
      <c r="C123" s="515">
        <v>1</v>
      </c>
      <c r="D123" s="973">
        <f>IF(OR($L$117="",T123=""),"",T123)</f>
      </c>
      <c r="E123" s="974"/>
      <c r="F123" s="975"/>
      <c r="G123" s="516">
        <f aca="true" t="shared" si="44" ref="G123:G139">IF(SUM(IF(ISERROR(Y123),0,Y123),IF(ISERROR(AI123),0,AI123))=0,"",ROUND(SUM(IF(ISERROR(Y123),0,Y123),IF(ISERROR(AI123),0,AI123)),0))</f>
      </c>
      <c r="H123" s="516">
        <f t="shared" si="35"/>
      </c>
      <c r="I123" s="516">
        <f t="shared" si="36"/>
      </c>
      <c r="J123" s="516">
        <f t="shared" si="37"/>
      </c>
      <c r="K123" s="516">
        <f t="shared" si="38"/>
      </c>
      <c r="L123" s="516">
        <f t="shared" si="39"/>
      </c>
      <c r="M123" s="516">
        <f t="shared" si="40"/>
      </c>
      <c r="N123" s="516">
        <f t="shared" si="41"/>
      </c>
      <c r="O123" s="342"/>
      <c r="P123" s="442"/>
      <c r="Q123" s="412" t="str">
        <f t="shared" si="42"/>
        <v>FInitial_1_</v>
      </c>
      <c r="R123" s="412" t="str">
        <f t="shared" si="43"/>
        <v>FInitial_2_</v>
      </c>
      <c r="S123" s="384"/>
      <c r="T123" s="413">
        <f>IF(COUNTIF(B_InitialSituation!$T$9:$T$153,$C123)=0,"",INDEX(B_InitialSituation!$D$9:$D$153,MATCH($C123,B_InitialSituation!$T$9:$T$153,0)))</f>
      </c>
      <c r="U123" s="384"/>
      <c r="V123" s="414">
        <f aca="true" t="shared" si="45" ref="V123:V139">V122</f>
        <v>2</v>
      </c>
      <c r="W123" s="384"/>
      <c r="X123" s="389">
        <f>INDEX(CHOOSE($V123,C_MergerSplitTransfer!$H$9:$H$68,C_MergerSplitTransfer!$K$9:$K$68),MATCH(Q123,C_MergerSplitTransfer!$T$9:$T$68,0))</f>
      </c>
      <c r="Y123" s="390" t="e">
        <f>IF(Y$75&lt;=CNTR_YearMergerSplit,"",INDEX(B_InitialSituation!G$9:G$153,MATCH($Q123,B_InitialSituation!$Q$9:$Q$153,0))*$X123)</f>
        <v>#VALUE!</v>
      </c>
      <c r="Z123" s="390" t="e">
        <f>IF(Z$75&lt;=CNTR_YearMergerSplit,"",INDEX(B_InitialSituation!H$9:H$153,MATCH($Q123,B_InitialSituation!$Q$9:$Q$153,0))*$X123)</f>
        <v>#VALUE!</v>
      </c>
      <c r="AA123" s="390" t="e">
        <f>IF(AA$75&lt;=CNTR_YearMergerSplit,"",INDEX(B_InitialSituation!I$9:I$153,MATCH($Q123,B_InitialSituation!$Q$9:$Q$153,0))*$X123)</f>
        <v>#VALUE!</v>
      </c>
      <c r="AB123" s="390" t="e">
        <f>IF(AB$75&lt;=CNTR_YearMergerSplit,"",INDEX(B_InitialSituation!J$9:J$153,MATCH($Q123,B_InitialSituation!$Q$9:$Q$153,0))*$X123)</f>
        <v>#VALUE!</v>
      </c>
      <c r="AC123" s="390" t="e">
        <f>IF(AC$75&lt;=CNTR_YearMergerSplit,"",INDEX(B_InitialSituation!K$9:K$153,MATCH($Q123,B_InitialSituation!$Q$9:$Q$153,0))*$X123)</f>
        <v>#VALUE!</v>
      </c>
      <c r="AD123" s="390" t="e">
        <f>IF(AD$75&lt;=CNTR_YearMergerSplit,"",INDEX(B_InitialSituation!L$9:L$153,MATCH($Q123,B_InitialSituation!$Q$9:$Q$153,0))*$X123)</f>
        <v>#VALUE!</v>
      </c>
      <c r="AE123" s="390" t="e">
        <f>IF(AE$75&lt;=CNTR_YearMergerSplit,"",INDEX(B_InitialSituation!M$9:M$153,MATCH($Q123,B_InitialSituation!$Q$9:$Q$153,0))*$X123)</f>
        <v>#VALUE!</v>
      </c>
      <c r="AF123" s="390" t="e">
        <f>IF(AF$75&lt;=CNTR_YearMergerSplit,"",INDEX(B_InitialSituation!N$9:N$153,MATCH($Q123,B_InitialSituation!$Q$9:$Q$153,0))*$X123)</f>
        <v>#VALUE!</v>
      </c>
      <c r="AG123" s="384"/>
      <c r="AH123" s="389">
        <f>INDEX(CHOOSE($V123,C_MergerSplitTransfer!$H$9:$H$68,C_MergerSplitTransfer!$K$9:$K$68),MATCH(R123,C_MergerSplitTransfer!$T$9:$T$68,0))</f>
      </c>
      <c r="AI123" s="390" t="e">
        <f>IF(AI$75&lt;=CNTR_YearMergerSplit,"",INDEX(B_InitialSituation!G$9:G$153,MATCH($R123,B_InitialSituation!$Q$9:$Q$153,0))*$AH123)</f>
        <v>#VALUE!</v>
      </c>
      <c r="AJ123" s="390" t="e">
        <f>IF(AJ$75&lt;=CNTR_YearMergerSplit,"",INDEX(B_InitialSituation!H$9:H$153,MATCH($R123,B_InitialSituation!$Q$9:$Q$153,0))*$AH123)</f>
        <v>#VALUE!</v>
      </c>
      <c r="AK123" s="390" t="e">
        <f>IF(AK$75&lt;=CNTR_YearMergerSplit,"",INDEX(B_InitialSituation!I$9:I$153,MATCH($R123,B_InitialSituation!$Q$9:$Q$153,0))*$AH123)</f>
        <v>#VALUE!</v>
      </c>
      <c r="AL123" s="390" t="e">
        <f>IF(AL$75&lt;=CNTR_YearMergerSplit,"",INDEX(B_InitialSituation!J$9:J$153,MATCH($R123,B_InitialSituation!$Q$9:$Q$153,0))*$AH123)</f>
        <v>#VALUE!</v>
      </c>
      <c r="AM123" s="390" t="e">
        <f>IF(AM$75&lt;=CNTR_YearMergerSplit,"",INDEX(B_InitialSituation!K$9:K$153,MATCH($R123,B_InitialSituation!$Q$9:$Q$153,0))*$AH123)</f>
        <v>#VALUE!</v>
      </c>
      <c r="AN123" s="390" t="e">
        <f>IF(AN$75&lt;=CNTR_YearMergerSplit,"",INDEX(B_InitialSituation!L$9:L$153,MATCH($R123,B_InitialSituation!$Q$9:$Q$153,0))*$AH123)</f>
        <v>#VALUE!</v>
      </c>
      <c r="AO123" s="390" t="e">
        <f>IF(AO$75&lt;=CNTR_YearMergerSplit,"",INDEX(B_InitialSituation!M$9:M$153,MATCH($R123,B_InitialSituation!$Q$9:$Q$153,0))*$AH123)</f>
        <v>#VALUE!</v>
      </c>
      <c r="AP123" s="390" t="e">
        <f>IF(AP$75&lt;=CNTR_YearMergerSplit,"",INDEX(B_InitialSituation!N$9:N$153,MATCH($R123,B_InitialSituation!$Q$9:$Q$153,0))*$AH123)</f>
        <v>#VALUE!</v>
      </c>
      <c r="AQ123" s="384"/>
    </row>
    <row r="124" spans="1:43" s="483" customFormat="1" ht="12.75" customHeight="1">
      <c r="A124" s="4"/>
      <c r="B124" s="5"/>
      <c r="C124" s="515">
        <v>2</v>
      </c>
      <c r="D124" s="976">
        <f aca="true" t="shared" si="46" ref="D124:D132">IF(OR($L$117="",T124=""),"",T124)</f>
      </c>
      <c r="E124" s="977"/>
      <c r="F124" s="978"/>
      <c r="G124" s="517">
        <f t="shared" si="44"/>
      </c>
      <c r="H124" s="517">
        <f t="shared" si="35"/>
      </c>
      <c r="I124" s="517">
        <f t="shared" si="36"/>
      </c>
      <c r="J124" s="517">
        <f t="shared" si="37"/>
      </c>
      <c r="K124" s="517">
        <f t="shared" si="38"/>
      </c>
      <c r="L124" s="517">
        <f t="shared" si="39"/>
      </c>
      <c r="M124" s="517">
        <f t="shared" si="40"/>
      </c>
      <c r="N124" s="517">
        <f t="shared" si="41"/>
      </c>
      <c r="O124" s="288"/>
      <c r="P124" s="286"/>
      <c r="Q124" s="412" t="str">
        <f t="shared" si="42"/>
        <v>FInitial_1_</v>
      </c>
      <c r="R124" s="412" t="str">
        <f t="shared" si="43"/>
        <v>FInitial_2_</v>
      </c>
      <c r="S124" s="384"/>
      <c r="T124" s="414">
        <f>IF(COUNTIF(B_InitialSituation!$T$9:$T$153,$C124)=0,"",INDEX(B_InitialSituation!$D$9:$D$153,MATCH($C124,B_InitialSituation!$T$9:$T$153,0)))</f>
      </c>
      <c r="U124" s="384"/>
      <c r="V124" s="414">
        <f t="shared" si="45"/>
        <v>2</v>
      </c>
      <c r="W124" s="384"/>
      <c r="X124" s="391">
        <f>INDEX(CHOOSE($V124,C_MergerSplitTransfer!$H$9:$H$68,C_MergerSplitTransfer!$K$9:$K$68),MATCH(Q124,C_MergerSplitTransfer!$T$9:$T$68,0))</f>
      </c>
      <c r="Y124" s="392" t="e">
        <f>IF(Y$75&lt;=CNTR_YearMergerSplit,"",INDEX(B_InitialSituation!G$9:G$153,MATCH($Q124,B_InitialSituation!$Q$9:$Q$153,0))*$X124)</f>
        <v>#VALUE!</v>
      </c>
      <c r="Z124" s="392" t="e">
        <f>IF(Z$75&lt;=CNTR_YearMergerSplit,"",INDEX(B_InitialSituation!H$9:H$153,MATCH($Q124,B_InitialSituation!$Q$9:$Q$153,0))*$X124)</f>
        <v>#VALUE!</v>
      </c>
      <c r="AA124" s="392" t="e">
        <f>IF(AA$75&lt;=CNTR_YearMergerSplit,"",INDEX(B_InitialSituation!I$9:I$153,MATCH($Q124,B_InitialSituation!$Q$9:$Q$153,0))*$X124)</f>
        <v>#VALUE!</v>
      </c>
      <c r="AB124" s="392" t="e">
        <f>IF(AB$75&lt;=CNTR_YearMergerSplit,"",INDEX(B_InitialSituation!J$9:J$153,MATCH($Q124,B_InitialSituation!$Q$9:$Q$153,0))*$X124)</f>
        <v>#VALUE!</v>
      </c>
      <c r="AC124" s="392" t="e">
        <f>IF(AC$75&lt;=CNTR_YearMergerSplit,"",INDEX(B_InitialSituation!K$9:K$153,MATCH($Q124,B_InitialSituation!$Q$9:$Q$153,0))*$X124)</f>
        <v>#VALUE!</v>
      </c>
      <c r="AD124" s="392" t="e">
        <f>IF(AD$75&lt;=CNTR_YearMergerSplit,"",INDEX(B_InitialSituation!L$9:L$153,MATCH($Q124,B_InitialSituation!$Q$9:$Q$153,0))*$X124)</f>
        <v>#VALUE!</v>
      </c>
      <c r="AE124" s="392" t="e">
        <f>IF(AE$75&lt;=CNTR_YearMergerSplit,"",INDEX(B_InitialSituation!M$9:M$153,MATCH($Q124,B_InitialSituation!$Q$9:$Q$153,0))*$X124)</f>
        <v>#VALUE!</v>
      </c>
      <c r="AF124" s="392" t="e">
        <f>IF(AF$75&lt;=CNTR_YearMergerSplit,"",INDEX(B_InitialSituation!N$9:N$153,MATCH($Q124,B_InitialSituation!$Q$9:$Q$153,0))*$X124)</f>
        <v>#VALUE!</v>
      </c>
      <c r="AG124" s="384"/>
      <c r="AH124" s="391">
        <f>INDEX(CHOOSE($V124,C_MergerSplitTransfer!$H$9:$H$68,C_MergerSplitTransfer!$K$9:$K$68),MATCH(R124,C_MergerSplitTransfer!$T$9:$T$68,0))</f>
      </c>
      <c r="AI124" s="392" t="e">
        <f>IF(AI$75&lt;=CNTR_YearMergerSplit,"",INDEX(B_InitialSituation!G$9:G$153,MATCH($R124,B_InitialSituation!$Q$9:$Q$153,0))*$AH124)</f>
        <v>#VALUE!</v>
      </c>
      <c r="AJ124" s="392" t="e">
        <f>IF(AJ$75&lt;=CNTR_YearMergerSplit,"",INDEX(B_InitialSituation!H$9:H$153,MATCH($R124,B_InitialSituation!$Q$9:$Q$153,0))*$AH124)</f>
        <v>#VALUE!</v>
      </c>
      <c r="AK124" s="392" t="e">
        <f>IF(AK$75&lt;=CNTR_YearMergerSplit,"",INDEX(B_InitialSituation!I$9:I$153,MATCH($R124,B_InitialSituation!$Q$9:$Q$153,0))*$AH124)</f>
        <v>#VALUE!</v>
      </c>
      <c r="AL124" s="392" t="e">
        <f>IF(AL$75&lt;=CNTR_YearMergerSplit,"",INDEX(B_InitialSituation!J$9:J$153,MATCH($R124,B_InitialSituation!$Q$9:$Q$153,0))*$AH124)</f>
        <v>#VALUE!</v>
      </c>
      <c r="AM124" s="392" t="e">
        <f>IF(AM$75&lt;=CNTR_YearMergerSplit,"",INDEX(B_InitialSituation!K$9:K$153,MATCH($R124,B_InitialSituation!$Q$9:$Q$153,0))*$AH124)</f>
        <v>#VALUE!</v>
      </c>
      <c r="AN124" s="392" t="e">
        <f>IF(AN$75&lt;=CNTR_YearMergerSplit,"",INDEX(B_InitialSituation!L$9:L$153,MATCH($R124,B_InitialSituation!$Q$9:$Q$153,0))*$AH124)</f>
        <v>#VALUE!</v>
      </c>
      <c r="AO124" s="392" t="e">
        <f>IF(AO$75&lt;=CNTR_YearMergerSplit,"",INDEX(B_InitialSituation!M$9:M$153,MATCH($R124,B_InitialSituation!$Q$9:$Q$153,0))*$AH124)</f>
        <v>#VALUE!</v>
      </c>
      <c r="AP124" s="392" t="e">
        <f>IF(AP$75&lt;=CNTR_YearMergerSplit,"",INDEX(B_InitialSituation!N$9:N$153,MATCH($R124,B_InitialSituation!$Q$9:$Q$153,0))*$AH124)</f>
        <v>#VALUE!</v>
      </c>
      <c r="AQ124" s="384"/>
    </row>
    <row r="125" spans="1:43" s="483" customFormat="1" ht="12.75" customHeight="1">
      <c r="A125" s="4"/>
      <c r="B125" s="5"/>
      <c r="C125" s="515">
        <v>3</v>
      </c>
      <c r="D125" s="976">
        <f t="shared" si="46"/>
      </c>
      <c r="E125" s="977"/>
      <c r="F125" s="978"/>
      <c r="G125" s="517">
        <f t="shared" si="44"/>
      </c>
      <c r="H125" s="517">
        <f t="shared" si="35"/>
      </c>
      <c r="I125" s="517">
        <f t="shared" si="36"/>
      </c>
      <c r="J125" s="517">
        <f t="shared" si="37"/>
      </c>
      <c r="K125" s="517">
        <f t="shared" si="38"/>
      </c>
      <c r="L125" s="517">
        <f t="shared" si="39"/>
      </c>
      <c r="M125" s="517">
        <f t="shared" si="40"/>
      </c>
      <c r="N125" s="517">
        <f t="shared" si="41"/>
      </c>
      <c r="O125" s="288"/>
      <c r="P125" s="286"/>
      <c r="Q125" s="412" t="str">
        <f t="shared" si="42"/>
        <v>FInitial_1_</v>
      </c>
      <c r="R125" s="412" t="str">
        <f t="shared" si="43"/>
        <v>FInitial_2_</v>
      </c>
      <c r="S125" s="384"/>
      <c r="T125" s="414">
        <f>IF(COUNTIF(B_InitialSituation!$T$9:$T$153,$C125)=0,"",INDEX(B_InitialSituation!$D$9:$D$153,MATCH($C125,B_InitialSituation!$T$9:$T$153,0)))</f>
      </c>
      <c r="U125" s="384"/>
      <c r="V125" s="414">
        <f t="shared" si="45"/>
        <v>2</v>
      </c>
      <c r="W125" s="384"/>
      <c r="X125" s="391">
        <f>INDEX(CHOOSE($V125,C_MergerSplitTransfer!$H$9:$H$68,C_MergerSplitTransfer!$K$9:$K$68),MATCH(Q125,C_MergerSplitTransfer!$T$9:$T$68,0))</f>
      </c>
      <c r="Y125" s="392" t="e">
        <f>IF(Y$75&lt;=CNTR_YearMergerSplit,"",INDEX(B_InitialSituation!G$9:G$153,MATCH($Q125,B_InitialSituation!$Q$9:$Q$153,0))*$X125)</f>
        <v>#VALUE!</v>
      </c>
      <c r="Z125" s="392" t="e">
        <f>IF(Z$75&lt;=CNTR_YearMergerSplit,"",INDEX(B_InitialSituation!H$9:H$153,MATCH($Q125,B_InitialSituation!$Q$9:$Q$153,0))*$X125)</f>
        <v>#VALUE!</v>
      </c>
      <c r="AA125" s="392" t="e">
        <f>IF(AA$75&lt;=CNTR_YearMergerSplit,"",INDEX(B_InitialSituation!I$9:I$153,MATCH($Q125,B_InitialSituation!$Q$9:$Q$153,0))*$X125)</f>
        <v>#VALUE!</v>
      </c>
      <c r="AB125" s="392" t="e">
        <f>IF(AB$75&lt;=CNTR_YearMergerSplit,"",INDEX(B_InitialSituation!J$9:J$153,MATCH($Q125,B_InitialSituation!$Q$9:$Q$153,0))*$X125)</f>
        <v>#VALUE!</v>
      </c>
      <c r="AC125" s="392" t="e">
        <f>IF(AC$75&lt;=CNTR_YearMergerSplit,"",INDEX(B_InitialSituation!K$9:K$153,MATCH($Q125,B_InitialSituation!$Q$9:$Q$153,0))*$X125)</f>
        <v>#VALUE!</v>
      </c>
      <c r="AD125" s="392" t="e">
        <f>IF(AD$75&lt;=CNTR_YearMergerSplit,"",INDEX(B_InitialSituation!L$9:L$153,MATCH($Q125,B_InitialSituation!$Q$9:$Q$153,0))*$X125)</f>
        <v>#VALUE!</v>
      </c>
      <c r="AE125" s="392" t="e">
        <f>IF(AE$75&lt;=CNTR_YearMergerSplit,"",INDEX(B_InitialSituation!M$9:M$153,MATCH($Q125,B_InitialSituation!$Q$9:$Q$153,0))*$X125)</f>
        <v>#VALUE!</v>
      </c>
      <c r="AF125" s="392" t="e">
        <f>IF(AF$75&lt;=CNTR_YearMergerSplit,"",INDEX(B_InitialSituation!N$9:N$153,MATCH($Q125,B_InitialSituation!$Q$9:$Q$153,0))*$X125)</f>
        <v>#VALUE!</v>
      </c>
      <c r="AG125" s="384"/>
      <c r="AH125" s="391">
        <f>INDEX(CHOOSE($V125,C_MergerSplitTransfer!$H$9:$H$68,C_MergerSplitTransfer!$K$9:$K$68),MATCH(R125,C_MergerSplitTransfer!$T$9:$T$68,0))</f>
      </c>
      <c r="AI125" s="392" t="e">
        <f>IF(AI$75&lt;=CNTR_YearMergerSplit,"",INDEX(B_InitialSituation!G$9:G$153,MATCH($R125,B_InitialSituation!$Q$9:$Q$153,0))*$AH125)</f>
        <v>#VALUE!</v>
      </c>
      <c r="AJ125" s="392" t="e">
        <f>IF(AJ$75&lt;=CNTR_YearMergerSplit,"",INDEX(B_InitialSituation!H$9:H$153,MATCH($R125,B_InitialSituation!$Q$9:$Q$153,0))*$AH125)</f>
        <v>#VALUE!</v>
      </c>
      <c r="AK125" s="392" t="e">
        <f>IF(AK$75&lt;=CNTR_YearMergerSplit,"",INDEX(B_InitialSituation!I$9:I$153,MATCH($R125,B_InitialSituation!$Q$9:$Q$153,0))*$AH125)</f>
        <v>#VALUE!</v>
      </c>
      <c r="AL125" s="392" t="e">
        <f>IF(AL$75&lt;=CNTR_YearMergerSplit,"",INDEX(B_InitialSituation!J$9:J$153,MATCH($R125,B_InitialSituation!$Q$9:$Q$153,0))*$AH125)</f>
        <v>#VALUE!</v>
      </c>
      <c r="AM125" s="392" t="e">
        <f>IF(AM$75&lt;=CNTR_YearMergerSplit,"",INDEX(B_InitialSituation!K$9:K$153,MATCH($R125,B_InitialSituation!$Q$9:$Q$153,0))*$AH125)</f>
        <v>#VALUE!</v>
      </c>
      <c r="AN125" s="392" t="e">
        <f>IF(AN$75&lt;=CNTR_YearMergerSplit,"",INDEX(B_InitialSituation!L$9:L$153,MATCH($R125,B_InitialSituation!$Q$9:$Q$153,0))*$AH125)</f>
        <v>#VALUE!</v>
      </c>
      <c r="AO125" s="392" t="e">
        <f>IF(AO$75&lt;=CNTR_YearMergerSplit,"",INDEX(B_InitialSituation!M$9:M$153,MATCH($R125,B_InitialSituation!$Q$9:$Q$153,0))*$AH125)</f>
        <v>#VALUE!</v>
      </c>
      <c r="AP125" s="392" t="e">
        <f>IF(AP$75&lt;=CNTR_YearMergerSplit,"",INDEX(B_InitialSituation!N$9:N$153,MATCH($R125,B_InitialSituation!$Q$9:$Q$153,0))*$AH125)</f>
        <v>#VALUE!</v>
      </c>
      <c r="AQ125" s="384"/>
    </row>
    <row r="126" spans="1:43" s="483" customFormat="1" ht="12.75" customHeight="1">
      <c r="A126" s="4"/>
      <c r="B126" s="5"/>
      <c r="C126" s="515">
        <v>4</v>
      </c>
      <c r="D126" s="976">
        <f t="shared" si="46"/>
      </c>
      <c r="E126" s="977"/>
      <c r="F126" s="978"/>
      <c r="G126" s="517">
        <f t="shared" si="44"/>
      </c>
      <c r="H126" s="517">
        <f t="shared" si="35"/>
      </c>
      <c r="I126" s="517">
        <f t="shared" si="36"/>
      </c>
      <c r="J126" s="517">
        <f t="shared" si="37"/>
      </c>
      <c r="K126" s="517">
        <f t="shared" si="38"/>
      </c>
      <c r="L126" s="517">
        <f t="shared" si="39"/>
      </c>
      <c r="M126" s="517">
        <f t="shared" si="40"/>
      </c>
      <c r="N126" s="517">
        <f t="shared" si="41"/>
      </c>
      <c r="O126" s="288"/>
      <c r="P126" s="286"/>
      <c r="Q126" s="412" t="str">
        <f t="shared" si="42"/>
        <v>FInitial_1_</v>
      </c>
      <c r="R126" s="412" t="str">
        <f t="shared" si="43"/>
        <v>FInitial_2_</v>
      </c>
      <c r="S126" s="384"/>
      <c r="T126" s="414">
        <f>IF(COUNTIF(B_InitialSituation!$T$9:$T$153,$C126)=0,"",INDEX(B_InitialSituation!$D$9:$D$153,MATCH($C126,B_InitialSituation!$T$9:$T$153,0)))</f>
      </c>
      <c r="U126" s="384"/>
      <c r="V126" s="414">
        <f t="shared" si="45"/>
        <v>2</v>
      </c>
      <c r="W126" s="384"/>
      <c r="X126" s="391">
        <f>INDEX(CHOOSE($V126,C_MergerSplitTransfer!$H$9:$H$68,C_MergerSplitTransfer!$K$9:$K$68),MATCH(Q126,C_MergerSplitTransfer!$T$9:$T$68,0))</f>
      </c>
      <c r="Y126" s="392" t="e">
        <f>IF(Y$75&lt;=CNTR_YearMergerSplit,"",INDEX(B_InitialSituation!G$9:G$153,MATCH($Q126,B_InitialSituation!$Q$9:$Q$153,0))*$X126)</f>
        <v>#VALUE!</v>
      </c>
      <c r="Z126" s="392" t="e">
        <f>IF(Z$75&lt;=CNTR_YearMergerSplit,"",INDEX(B_InitialSituation!H$9:H$153,MATCH($Q126,B_InitialSituation!$Q$9:$Q$153,0))*$X126)</f>
        <v>#VALUE!</v>
      </c>
      <c r="AA126" s="392" t="e">
        <f>IF(AA$75&lt;=CNTR_YearMergerSplit,"",INDEX(B_InitialSituation!I$9:I$153,MATCH($Q126,B_InitialSituation!$Q$9:$Q$153,0))*$X126)</f>
        <v>#VALUE!</v>
      </c>
      <c r="AB126" s="392" t="e">
        <f>IF(AB$75&lt;=CNTR_YearMergerSplit,"",INDEX(B_InitialSituation!J$9:J$153,MATCH($Q126,B_InitialSituation!$Q$9:$Q$153,0))*$X126)</f>
        <v>#VALUE!</v>
      </c>
      <c r="AC126" s="392" t="e">
        <f>IF(AC$75&lt;=CNTR_YearMergerSplit,"",INDEX(B_InitialSituation!K$9:K$153,MATCH($Q126,B_InitialSituation!$Q$9:$Q$153,0))*$X126)</f>
        <v>#VALUE!</v>
      </c>
      <c r="AD126" s="392" t="e">
        <f>IF(AD$75&lt;=CNTR_YearMergerSplit,"",INDEX(B_InitialSituation!L$9:L$153,MATCH($Q126,B_InitialSituation!$Q$9:$Q$153,0))*$X126)</f>
        <v>#VALUE!</v>
      </c>
      <c r="AE126" s="392" t="e">
        <f>IF(AE$75&lt;=CNTR_YearMergerSplit,"",INDEX(B_InitialSituation!M$9:M$153,MATCH($Q126,B_InitialSituation!$Q$9:$Q$153,0))*$X126)</f>
        <v>#VALUE!</v>
      </c>
      <c r="AF126" s="392" t="e">
        <f>IF(AF$75&lt;=CNTR_YearMergerSplit,"",INDEX(B_InitialSituation!N$9:N$153,MATCH($Q126,B_InitialSituation!$Q$9:$Q$153,0))*$X126)</f>
        <v>#VALUE!</v>
      </c>
      <c r="AG126" s="384"/>
      <c r="AH126" s="391">
        <f>INDEX(CHOOSE($V126,C_MergerSplitTransfer!$H$9:$H$68,C_MergerSplitTransfer!$K$9:$K$68),MATCH(R126,C_MergerSplitTransfer!$T$9:$T$68,0))</f>
      </c>
      <c r="AI126" s="392" t="e">
        <f>IF(AI$75&lt;=CNTR_YearMergerSplit,"",INDEX(B_InitialSituation!G$9:G$153,MATCH($R126,B_InitialSituation!$Q$9:$Q$153,0))*$AH126)</f>
        <v>#VALUE!</v>
      </c>
      <c r="AJ126" s="392" t="e">
        <f>IF(AJ$75&lt;=CNTR_YearMergerSplit,"",INDEX(B_InitialSituation!H$9:H$153,MATCH($R126,B_InitialSituation!$Q$9:$Q$153,0))*$AH126)</f>
        <v>#VALUE!</v>
      </c>
      <c r="AK126" s="392" t="e">
        <f>IF(AK$75&lt;=CNTR_YearMergerSplit,"",INDEX(B_InitialSituation!I$9:I$153,MATCH($R126,B_InitialSituation!$Q$9:$Q$153,0))*$AH126)</f>
        <v>#VALUE!</v>
      </c>
      <c r="AL126" s="392" t="e">
        <f>IF(AL$75&lt;=CNTR_YearMergerSplit,"",INDEX(B_InitialSituation!J$9:J$153,MATCH($R126,B_InitialSituation!$Q$9:$Q$153,0))*$AH126)</f>
        <v>#VALUE!</v>
      </c>
      <c r="AM126" s="392" t="e">
        <f>IF(AM$75&lt;=CNTR_YearMergerSplit,"",INDEX(B_InitialSituation!K$9:K$153,MATCH($R126,B_InitialSituation!$Q$9:$Q$153,0))*$AH126)</f>
        <v>#VALUE!</v>
      </c>
      <c r="AN126" s="392" t="e">
        <f>IF(AN$75&lt;=CNTR_YearMergerSplit,"",INDEX(B_InitialSituation!L$9:L$153,MATCH($R126,B_InitialSituation!$Q$9:$Q$153,0))*$AH126)</f>
        <v>#VALUE!</v>
      </c>
      <c r="AO126" s="392" t="e">
        <f>IF(AO$75&lt;=CNTR_YearMergerSplit,"",INDEX(B_InitialSituation!M$9:M$153,MATCH($R126,B_InitialSituation!$Q$9:$Q$153,0))*$AH126)</f>
        <v>#VALUE!</v>
      </c>
      <c r="AP126" s="392" t="e">
        <f>IF(AP$75&lt;=CNTR_YearMergerSplit,"",INDEX(B_InitialSituation!N$9:N$153,MATCH($R126,B_InitialSituation!$Q$9:$Q$153,0))*$AH126)</f>
        <v>#VALUE!</v>
      </c>
      <c r="AQ126" s="384"/>
    </row>
    <row r="127" spans="1:43" s="483" customFormat="1" ht="12.75" customHeight="1">
      <c r="A127" s="4"/>
      <c r="B127" s="5"/>
      <c r="C127" s="515">
        <v>5</v>
      </c>
      <c r="D127" s="976">
        <f t="shared" si="46"/>
      </c>
      <c r="E127" s="977"/>
      <c r="F127" s="978"/>
      <c r="G127" s="517">
        <f t="shared" si="44"/>
      </c>
      <c r="H127" s="517">
        <f t="shared" si="35"/>
      </c>
      <c r="I127" s="517">
        <f t="shared" si="36"/>
      </c>
      <c r="J127" s="517">
        <f t="shared" si="37"/>
      </c>
      <c r="K127" s="517">
        <f t="shared" si="38"/>
      </c>
      <c r="L127" s="517">
        <f t="shared" si="39"/>
      </c>
      <c r="M127" s="517">
        <f t="shared" si="40"/>
      </c>
      <c r="N127" s="517">
        <f t="shared" si="41"/>
      </c>
      <c r="O127" s="288"/>
      <c r="P127" s="286"/>
      <c r="Q127" s="412" t="str">
        <f t="shared" si="42"/>
        <v>FInitial_1_</v>
      </c>
      <c r="R127" s="412" t="str">
        <f t="shared" si="43"/>
        <v>FInitial_2_</v>
      </c>
      <c r="S127" s="384"/>
      <c r="T127" s="414">
        <f>IF(COUNTIF(B_InitialSituation!$T$9:$T$153,$C127)=0,"",INDEX(B_InitialSituation!$D$9:$D$153,MATCH($C127,B_InitialSituation!$T$9:$T$153,0)))</f>
      </c>
      <c r="U127" s="384"/>
      <c r="V127" s="414">
        <f t="shared" si="45"/>
        <v>2</v>
      </c>
      <c r="W127" s="384"/>
      <c r="X127" s="391">
        <f>INDEX(CHOOSE($V127,C_MergerSplitTransfer!$H$9:$H$68,C_MergerSplitTransfer!$K$9:$K$68),MATCH(Q127,C_MergerSplitTransfer!$T$9:$T$68,0))</f>
      </c>
      <c r="Y127" s="392" t="e">
        <f>IF(Y$75&lt;=CNTR_YearMergerSplit,"",INDEX(B_InitialSituation!G$9:G$153,MATCH($Q127,B_InitialSituation!$Q$9:$Q$153,0))*$X127)</f>
        <v>#VALUE!</v>
      </c>
      <c r="Z127" s="392" t="e">
        <f>IF(Z$75&lt;=CNTR_YearMergerSplit,"",INDEX(B_InitialSituation!H$9:H$153,MATCH($Q127,B_InitialSituation!$Q$9:$Q$153,0))*$X127)</f>
        <v>#VALUE!</v>
      </c>
      <c r="AA127" s="392" t="e">
        <f>IF(AA$75&lt;=CNTR_YearMergerSplit,"",INDEX(B_InitialSituation!I$9:I$153,MATCH($Q127,B_InitialSituation!$Q$9:$Q$153,0))*$X127)</f>
        <v>#VALUE!</v>
      </c>
      <c r="AB127" s="392" t="e">
        <f>IF(AB$75&lt;=CNTR_YearMergerSplit,"",INDEX(B_InitialSituation!J$9:J$153,MATCH($Q127,B_InitialSituation!$Q$9:$Q$153,0))*$X127)</f>
        <v>#VALUE!</v>
      </c>
      <c r="AC127" s="392" t="e">
        <f>IF(AC$75&lt;=CNTR_YearMergerSplit,"",INDEX(B_InitialSituation!K$9:K$153,MATCH($Q127,B_InitialSituation!$Q$9:$Q$153,0))*$X127)</f>
        <v>#VALUE!</v>
      </c>
      <c r="AD127" s="392" t="e">
        <f>IF(AD$75&lt;=CNTR_YearMergerSplit,"",INDEX(B_InitialSituation!L$9:L$153,MATCH($Q127,B_InitialSituation!$Q$9:$Q$153,0))*$X127)</f>
        <v>#VALUE!</v>
      </c>
      <c r="AE127" s="392" t="e">
        <f>IF(AE$75&lt;=CNTR_YearMergerSplit,"",INDEX(B_InitialSituation!M$9:M$153,MATCH($Q127,B_InitialSituation!$Q$9:$Q$153,0))*$X127)</f>
        <v>#VALUE!</v>
      </c>
      <c r="AF127" s="392" t="e">
        <f>IF(AF$75&lt;=CNTR_YearMergerSplit,"",INDEX(B_InitialSituation!N$9:N$153,MATCH($Q127,B_InitialSituation!$Q$9:$Q$153,0))*$X127)</f>
        <v>#VALUE!</v>
      </c>
      <c r="AG127" s="384"/>
      <c r="AH127" s="391">
        <f>INDEX(CHOOSE($V127,C_MergerSplitTransfer!$H$9:$H$68,C_MergerSplitTransfer!$K$9:$K$68),MATCH(R127,C_MergerSplitTransfer!$T$9:$T$68,0))</f>
      </c>
      <c r="AI127" s="392" t="e">
        <f>IF(AI$75&lt;=CNTR_YearMergerSplit,"",INDEX(B_InitialSituation!G$9:G$153,MATCH($R127,B_InitialSituation!$Q$9:$Q$153,0))*$AH127)</f>
        <v>#VALUE!</v>
      </c>
      <c r="AJ127" s="392" t="e">
        <f>IF(AJ$75&lt;=CNTR_YearMergerSplit,"",INDEX(B_InitialSituation!H$9:H$153,MATCH($R127,B_InitialSituation!$Q$9:$Q$153,0))*$AH127)</f>
        <v>#VALUE!</v>
      </c>
      <c r="AK127" s="392" t="e">
        <f>IF(AK$75&lt;=CNTR_YearMergerSplit,"",INDEX(B_InitialSituation!I$9:I$153,MATCH($R127,B_InitialSituation!$Q$9:$Q$153,0))*$AH127)</f>
        <v>#VALUE!</v>
      </c>
      <c r="AL127" s="392" t="e">
        <f>IF(AL$75&lt;=CNTR_YearMergerSplit,"",INDEX(B_InitialSituation!J$9:J$153,MATCH($R127,B_InitialSituation!$Q$9:$Q$153,0))*$AH127)</f>
        <v>#VALUE!</v>
      </c>
      <c r="AM127" s="392" t="e">
        <f>IF(AM$75&lt;=CNTR_YearMergerSplit,"",INDEX(B_InitialSituation!K$9:K$153,MATCH($R127,B_InitialSituation!$Q$9:$Q$153,0))*$AH127)</f>
        <v>#VALUE!</v>
      </c>
      <c r="AN127" s="392" t="e">
        <f>IF(AN$75&lt;=CNTR_YearMergerSplit,"",INDEX(B_InitialSituation!L$9:L$153,MATCH($R127,B_InitialSituation!$Q$9:$Q$153,0))*$AH127)</f>
        <v>#VALUE!</v>
      </c>
      <c r="AO127" s="392" t="e">
        <f>IF(AO$75&lt;=CNTR_YearMergerSplit,"",INDEX(B_InitialSituation!M$9:M$153,MATCH($R127,B_InitialSituation!$Q$9:$Q$153,0))*$AH127)</f>
        <v>#VALUE!</v>
      </c>
      <c r="AP127" s="392" t="e">
        <f>IF(AP$75&lt;=CNTR_YearMergerSplit,"",INDEX(B_InitialSituation!N$9:N$153,MATCH($R127,B_InitialSituation!$Q$9:$Q$153,0))*$AH127)</f>
        <v>#VALUE!</v>
      </c>
      <c r="AQ127" s="384"/>
    </row>
    <row r="128" spans="1:43" s="483" customFormat="1" ht="12.75" customHeight="1">
      <c r="A128" s="4"/>
      <c r="B128" s="5"/>
      <c r="C128" s="515">
        <v>6</v>
      </c>
      <c r="D128" s="976">
        <f t="shared" si="46"/>
      </c>
      <c r="E128" s="977"/>
      <c r="F128" s="978"/>
      <c r="G128" s="517">
        <f t="shared" si="44"/>
      </c>
      <c r="H128" s="517">
        <f t="shared" si="35"/>
      </c>
      <c r="I128" s="517">
        <f t="shared" si="36"/>
      </c>
      <c r="J128" s="517">
        <f t="shared" si="37"/>
      </c>
      <c r="K128" s="517">
        <f t="shared" si="38"/>
      </c>
      <c r="L128" s="517">
        <f t="shared" si="39"/>
      </c>
      <c r="M128" s="517">
        <f t="shared" si="40"/>
      </c>
      <c r="N128" s="517">
        <f t="shared" si="41"/>
      </c>
      <c r="O128" s="288"/>
      <c r="P128" s="9"/>
      <c r="Q128" s="412" t="str">
        <f t="shared" si="42"/>
        <v>FInitial_1_</v>
      </c>
      <c r="R128" s="412" t="str">
        <f t="shared" si="43"/>
        <v>FInitial_2_</v>
      </c>
      <c r="S128" s="384"/>
      <c r="T128" s="414">
        <f>IF(COUNTIF(B_InitialSituation!$T$9:$T$153,$C128)=0,"",INDEX(B_InitialSituation!$D$9:$D$153,MATCH($C128,B_InitialSituation!$T$9:$T$153,0)))</f>
      </c>
      <c r="U128" s="384"/>
      <c r="V128" s="414">
        <f t="shared" si="45"/>
        <v>2</v>
      </c>
      <c r="W128" s="384"/>
      <c r="X128" s="391">
        <f>INDEX(CHOOSE($V128,C_MergerSplitTransfer!$H$9:$H$68,C_MergerSplitTransfer!$K$9:$K$68),MATCH(Q128,C_MergerSplitTransfer!$T$9:$T$68,0))</f>
      </c>
      <c r="Y128" s="392" t="e">
        <f>IF(Y$75&lt;=CNTR_YearMergerSplit,"",INDEX(B_InitialSituation!G$9:G$153,MATCH($Q128,B_InitialSituation!$Q$9:$Q$153,0))*$X128)</f>
        <v>#VALUE!</v>
      </c>
      <c r="Z128" s="392" t="e">
        <f>IF(Z$75&lt;=CNTR_YearMergerSplit,"",INDEX(B_InitialSituation!H$9:H$153,MATCH($Q128,B_InitialSituation!$Q$9:$Q$153,0))*$X128)</f>
        <v>#VALUE!</v>
      </c>
      <c r="AA128" s="392" t="e">
        <f>IF(AA$75&lt;=CNTR_YearMergerSplit,"",INDEX(B_InitialSituation!I$9:I$153,MATCH($Q128,B_InitialSituation!$Q$9:$Q$153,0))*$X128)</f>
        <v>#VALUE!</v>
      </c>
      <c r="AB128" s="392" t="e">
        <f>IF(AB$75&lt;=CNTR_YearMergerSplit,"",INDEX(B_InitialSituation!J$9:J$153,MATCH($Q128,B_InitialSituation!$Q$9:$Q$153,0))*$X128)</f>
        <v>#VALUE!</v>
      </c>
      <c r="AC128" s="392" t="e">
        <f>IF(AC$75&lt;=CNTR_YearMergerSplit,"",INDEX(B_InitialSituation!K$9:K$153,MATCH($Q128,B_InitialSituation!$Q$9:$Q$153,0))*$X128)</f>
        <v>#VALUE!</v>
      </c>
      <c r="AD128" s="392" t="e">
        <f>IF(AD$75&lt;=CNTR_YearMergerSplit,"",INDEX(B_InitialSituation!L$9:L$153,MATCH($Q128,B_InitialSituation!$Q$9:$Q$153,0))*$X128)</f>
        <v>#VALUE!</v>
      </c>
      <c r="AE128" s="392" t="e">
        <f>IF(AE$75&lt;=CNTR_YearMergerSplit,"",INDEX(B_InitialSituation!M$9:M$153,MATCH($Q128,B_InitialSituation!$Q$9:$Q$153,0))*$X128)</f>
        <v>#VALUE!</v>
      </c>
      <c r="AF128" s="392" t="e">
        <f>IF(AF$75&lt;=CNTR_YearMergerSplit,"",INDEX(B_InitialSituation!N$9:N$153,MATCH($Q128,B_InitialSituation!$Q$9:$Q$153,0))*$X128)</f>
        <v>#VALUE!</v>
      </c>
      <c r="AG128" s="384"/>
      <c r="AH128" s="391">
        <f>INDEX(CHOOSE($V128,C_MergerSplitTransfer!$H$9:$H$68,C_MergerSplitTransfer!$K$9:$K$68),MATCH(R128,C_MergerSplitTransfer!$T$9:$T$68,0))</f>
      </c>
      <c r="AI128" s="392" t="e">
        <f>IF(AI$75&lt;=CNTR_YearMergerSplit,"",INDEX(B_InitialSituation!G$9:G$153,MATCH($R128,B_InitialSituation!$Q$9:$Q$153,0))*$AH128)</f>
        <v>#VALUE!</v>
      </c>
      <c r="AJ128" s="392" t="e">
        <f>IF(AJ$75&lt;=CNTR_YearMergerSplit,"",INDEX(B_InitialSituation!H$9:H$153,MATCH($R128,B_InitialSituation!$Q$9:$Q$153,0))*$AH128)</f>
        <v>#VALUE!</v>
      </c>
      <c r="AK128" s="392" t="e">
        <f>IF(AK$75&lt;=CNTR_YearMergerSplit,"",INDEX(B_InitialSituation!I$9:I$153,MATCH($R128,B_InitialSituation!$Q$9:$Q$153,0))*$AH128)</f>
        <v>#VALUE!</v>
      </c>
      <c r="AL128" s="392" t="e">
        <f>IF(AL$75&lt;=CNTR_YearMergerSplit,"",INDEX(B_InitialSituation!J$9:J$153,MATCH($R128,B_InitialSituation!$Q$9:$Q$153,0))*$AH128)</f>
        <v>#VALUE!</v>
      </c>
      <c r="AM128" s="392" t="e">
        <f>IF(AM$75&lt;=CNTR_YearMergerSplit,"",INDEX(B_InitialSituation!K$9:K$153,MATCH($R128,B_InitialSituation!$Q$9:$Q$153,0))*$AH128)</f>
        <v>#VALUE!</v>
      </c>
      <c r="AN128" s="392" t="e">
        <f>IF(AN$75&lt;=CNTR_YearMergerSplit,"",INDEX(B_InitialSituation!L$9:L$153,MATCH($R128,B_InitialSituation!$Q$9:$Q$153,0))*$AH128)</f>
        <v>#VALUE!</v>
      </c>
      <c r="AO128" s="392" t="e">
        <f>IF(AO$75&lt;=CNTR_YearMergerSplit,"",INDEX(B_InitialSituation!M$9:M$153,MATCH($R128,B_InitialSituation!$Q$9:$Q$153,0))*$AH128)</f>
        <v>#VALUE!</v>
      </c>
      <c r="AP128" s="392" t="e">
        <f>IF(AP$75&lt;=CNTR_YearMergerSplit,"",INDEX(B_InitialSituation!N$9:N$153,MATCH($R128,B_InitialSituation!$Q$9:$Q$153,0))*$AH128)</f>
        <v>#VALUE!</v>
      </c>
      <c r="AQ128" s="384"/>
    </row>
    <row r="129" spans="1:43" s="483" customFormat="1" ht="12.75" customHeight="1">
      <c r="A129" s="4"/>
      <c r="B129" s="5"/>
      <c r="C129" s="515">
        <v>7</v>
      </c>
      <c r="D129" s="976">
        <f t="shared" si="46"/>
      </c>
      <c r="E129" s="977"/>
      <c r="F129" s="978"/>
      <c r="G129" s="517">
        <f t="shared" si="44"/>
      </c>
      <c r="H129" s="517">
        <f t="shared" si="35"/>
      </c>
      <c r="I129" s="517">
        <f t="shared" si="36"/>
      </c>
      <c r="J129" s="517">
        <f t="shared" si="37"/>
      </c>
      <c r="K129" s="517">
        <f t="shared" si="38"/>
      </c>
      <c r="L129" s="517">
        <f t="shared" si="39"/>
      </c>
      <c r="M129" s="517">
        <f t="shared" si="40"/>
      </c>
      <c r="N129" s="517">
        <f t="shared" si="41"/>
      </c>
      <c r="O129" s="288"/>
      <c r="P129" s="9"/>
      <c r="Q129" s="412" t="str">
        <f t="shared" si="42"/>
        <v>FInitial_1_</v>
      </c>
      <c r="R129" s="412" t="str">
        <f t="shared" si="43"/>
        <v>FInitial_2_</v>
      </c>
      <c r="S129" s="384"/>
      <c r="T129" s="414">
        <f>IF(COUNTIF(B_InitialSituation!$T$9:$T$153,$C129)=0,"",INDEX(B_InitialSituation!$D$9:$D$153,MATCH($C129,B_InitialSituation!$T$9:$T$153,0)))</f>
      </c>
      <c r="U129" s="384"/>
      <c r="V129" s="414">
        <f t="shared" si="45"/>
        <v>2</v>
      </c>
      <c r="W129" s="384"/>
      <c r="X129" s="391">
        <f>INDEX(CHOOSE($V129,C_MergerSplitTransfer!$H$9:$H$68,C_MergerSplitTransfer!$K$9:$K$68),MATCH(Q129,C_MergerSplitTransfer!$T$9:$T$68,0))</f>
      </c>
      <c r="Y129" s="392" t="e">
        <f>IF(Y$75&lt;=CNTR_YearMergerSplit,"",INDEX(B_InitialSituation!G$9:G$153,MATCH($Q129,B_InitialSituation!$Q$9:$Q$153,0))*$X129)</f>
        <v>#VALUE!</v>
      </c>
      <c r="Z129" s="392" t="e">
        <f>IF(Z$75&lt;=CNTR_YearMergerSplit,"",INDEX(B_InitialSituation!H$9:H$153,MATCH($Q129,B_InitialSituation!$Q$9:$Q$153,0))*$X129)</f>
        <v>#VALUE!</v>
      </c>
      <c r="AA129" s="392" t="e">
        <f>IF(AA$75&lt;=CNTR_YearMergerSplit,"",INDEX(B_InitialSituation!I$9:I$153,MATCH($Q129,B_InitialSituation!$Q$9:$Q$153,0))*$X129)</f>
        <v>#VALUE!</v>
      </c>
      <c r="AB129" s="392" t="e">
        <f>IF(AB$75&lt;=CNTR_YearMergerSplit,"",INDEX(B_InitialSituation!J$9:J$153,MATCH($Q129,B_InitialSituation!$Q$9:$Q$153,0))*$X129)</f>
        <v>#VALUE!</v>
      </c>
      <c r="AC129" s="392" t="e">
        <f>IF(AC$75&lt;=CNTR_YearMergerSplit,"",INDEX(B_InitialSituation!K$9:K$153,MATCH($Q129,B_InitialSituation!$Q$9:$Q$153,0))*$X129)</f>
        <v>#VALUE!</v>
      </c>
      <c r="AD129" s="392" t="e">
        <f>IF(AD$75&lt;=CNTR_YearMergerSplit,"",INDEX(B_InitialSituation!L$9:L$153,MATCH($Q129,B_InitialSituation!$Q$9:$Q$153,0))*$X129)</f>
        <v>#VALUE!</v>
      </c>
      <c r="AE129" s="392" t="e">
        <f>IF(AE$75&lt;=CNTR_YearMergerSplit,"",INDEX(B_InitialSituation!M$9:M$153,MATCH($Q129,B_InitialSituation!$Q$9:$Q$153,0))*$X129)</f>
        <v>#VALUE!</v>
      </c>
      <c r="AF129" s="392" t="e">
        <f>IF(AF$75&lt;=CNTR_YearMergerSplit,"",INDEX(B_InitialSituation!N$9:N$153,MATCH($Q129,B_InitialSituation!$Q$9:$Q$153,0))*$X129)</f>
        <v>#VALUE!</v>
      </c>
      <c r="AG129" s="384"/>
      <c r="AH129" s="391">
        <f>INDEX(CHOOSE($V129,C_MergerSplitTransfer!$H$9:$H$68,C_MergerSplitTransfer!$K$9:$K$68),MATCH(R129,C_MergerSplitTransfer!$T$9:$T$68,0))</f>
      </c>
      <c r="AI129" s="392" t="e">
        <f>IF(AI$75&lt;=CNTR_YearMergerSplit,"",INDEX(B_InitialSituation!G$9:G$153,MATCH($R129,B_InitialSituation!$Q$9:$Q$153,0))*$AH129)</f>
        <v>#VALUE!</v>
      </c>
      <c r="AJ129" s="392" t="e">
        <f>IF(AJ$75&lt;=CNTR_YearMergerSplit,"",INDEX(B_InitialSituation!H$9:H$153,MATCH($R129,B_InitialSituation!$Q$9:$Q$153,0))*$AH129)</f>
        <v>#VALUE!</v>
      </c>
      <c r="AK129" s="392" t="e">
        <f>IF(AK$75&lt;=CNTR_YearMergerSplit,"",INDEX(B_InitialSituation!I$9:I$153,MATCH($R129,B_InitialSituation!$Q$9:$Q$153,0))*$AH129)</f>
        <v>#VALUE!</v>
      </c>
      <c r="AL129" s="392" t="e">
        <f>IF(AL$75&lt;=CNTR_YearMergerSplit,"",INDEX(B_InitialSituation!J$9:J$153,MATCH($R129,B_InitialSituation!$Q$9:$Q$153,0))*$AH129)</f>
        <v>#VALUE!</v>
      </c>
      <c r="AM129" s="392" t="e">
        <f>IF(AM$75&lt;=CNTR_YearMergerSplit,"",INDEX(B_InitialSituation!K$9:K$153,MATCH($R129,B_InitialSituation!$Q$9:$Q$153,0))*$AH129)</f>
        <v>#VALUE!</v>
      </c>
      <c r="AN129" s="392" t="e">
        <f>IF(AN$75&lt;=CNTR_YearMergerSplit,"",INDEX(B_InitialSituation!L$9:L$153,MATCH($R129,B_InitialSituation!$Q$9:$Q$153,0))*$AH129)</f>
        <v>#VALUE!</v>
      </c>
      <c r="AO129" s="392" t="e">
        <f>IF(AO$75&lt;=CNTR_YearMergerSplit,"",INDEX(B_InitialSituation!M$9:M$153,MATCH($R129,B_InitialSituation!$Q$9:$Q$153,0))*$AH129)</f>
        <v>#VALUE!</v>
      </c>
      <c r="AP129" s="392" t="e">
        <f>IF(AP$75&lt;=CNTR_YearMergerSplit,"",INDEX(B_InitialSituation!N$9:N$153,MATCH($R129,B_InitialSituation!$Q$9:$Q$153,0))*$AH129)</f>
        <v>#VALUE!</v>
      </c>
      <c r="AQ129" s="384"/>
    </row>
    <row r="130" spans="1:43" s="483" customFormat="1" ht="12.75" customHeight="1">
      <c r="A130" s="4"/>
      <c r="B130" s="5"/>
      <c r="C130" s="515">
        <v>8</v>
      </c>
      <c r="D130" s="976">
        <f t="shared" si="46"/>
      </c>
      <c r="E130" s="977"/>
      <c r="F130" s="978"/>
      <c r="G130" s="517">
        <f t="shared" si="44"/>
      </c>
      <c r="H130" s="517">
        <f t="shared" si="35"/>
      </c>
      <c r="I130" s="517">
        <f t="shared" si="36"/>
      </c>
      <c r="J130" s="517">
        <f t="shared" si="37"/>
      </c>
      <c r="K130" s="517">
        <f t="shared" si="38"/>
      </c>
      <c r="L130" s="517">
        <f t="shared" si="39"/>
      </c>
      <c r="M130" s="517">
        <f t="shared" si="40"/>
      </c>
      <c r="N130" s="517">
        <f t="shared" si="41"/>
      </c>
      <c r="O130" s="288"/>
      <c r="P130" s="9"/>
      <c r="Q130" s="412" t="str">
        <f t="shared" si="42"/>
        <v>FInitial_1_</v>
      </c>
      <c r="R130" s="412" t="str">
        <f t="shared" si="43"/>
        <v>FInitial_2_</v>
      </c>
      <c r="S130" s="384"/>
      <c r="T130" s="414">
        <f>IF(COUNTIF(B_InitialSituation!$T$9:$T$153,$C130)=0,"",INDEX(B_InitialSituation!$D$9:$D$153,MATCH($C130,B_InitialSituation!$T$9:$T$153,0)))</f>
      </c>
      <c r="U130" s="384"/>
      <c r="V130" s="414">
        <f t="shared" si="45"/>
        <v>2</v>
      </c>
      <c r="W130" s="384"/>
      <c r="X130" s="391">
        <f>INDEX(CHOOSE($V130,C_MergerSplitTransfer!$H$9:$H$68,C_MergerSplitTransfer!$K$9:$K$68),MATCH(Q130,C_MergerSplitTransfer!$T$9:$T$68,0))</f>
      </c>
      <c r="Y130" s="392" t="e">
        <f>IF(Y$75&lt;=CNTR_YearMergerSplit,"",INDEX(B_InitialSituation!G$9:G$153,MATCH($Q130,B_InitialSituation!$Q$9:$Q$153,0))*$X130)</f>
        <v>#VALUE!</v>
      </c>
      <c r="Z130" s="392" t="e">
        <f>IF(Z$75&lt;=CNTR_YearMergerSplit,"",INDEX(B_InitialSituation!H$9:H$153,MATCH($Q130,B_InitialSituation!$Q$9:$Q$153,0))*$X130)</f>
        <v>#VALUE!</v>
      </c>
      <c r="AA130" s="392" t="e">
        <f>IF(AA$75&lt;=CNTR_YearMergerSplit,"",INDEX(B_InitialSituation!I$9:I$153,MATCH($Q130,B_InitialSituation!$Q$9:$Q$153,0))*$X130)</f>
        <v>#VALUE!</v>
      </c>
      <c r="AB130" s="392" t="e">
        <f>IF(AB$75&lt;=CNTR_YearMergerSplit,"",INDEX(B_InitialSituation!J$9:J$153,MATCH($Q130,B_InitialSituation!$Q$9:$Q$153,0))*$X130)</f>
        <v>#VALUE!</v>
      </c>
      <c r="AC130" s="392" t="e">
        <f>IF(AC$75&lt;=CNTR_YearMergerSplit,"",INDEX(B_InitialSituation!K$9:K$153,MATCH($Q130,B_InitialSituation!$Q$9:$Q$153,0))*$X130)</f>
        <v>#VALUE!</v>
      </c>
      <c r="AD130" s="392" t="e">
        <f>IF(AD$75&lt;=CNTR_YearMergerSplit,"",INDEX(B_InitialSituation!L$9:L$153,MATCH($Q130,B_InitialSituation!$Q$9:$Q$153,0))*$X130)</f>
        <v>#VALUE!</v>
      </c>
      <c r="AE130" s="392" t="e">
        <f>IF(AE$75&lt;=CNTR_YearMergerSplit,"",INDEX(B_InitialSituation!M$9:M$153,MATCH($Q130,B_InitialSituation!$Q$9:$Q$153,0))*$X130)</f>
        <v>#VALUE!</v>
      </c>
      <c r="AF130" s="392" t="e">
        <f>IF(AF$75&lt;=CNTR_YearMergerSplit,"",INDEX(B_InitialSituation!N$9:N$153,MATCH($Q130,B_InitialSituation!$Q$9:$Q$153,0))*$X130)</f>
        <v>#VALUE!</v>
      </c>
      <c r="AG130" s="384"/>
      <c r="AH130" s="391">
        <f>INDEX(CHOOSE($V130,C_MergerSplitTransfer!$H$9:$H$68,C_MergerSplitTransfer!$K$9:$K$68),MATCH(R130,C_MergerSplitTransfer!$T$9:$T$68,0))</f>
      </c>
      <c r="AI130" s="392" t="e">
        <f>IF(AI$75&lt;=CNTR_YearMergerSplit,"",INDEX(B_InitialSituation!G$9:G$153,MATCH($R130,B_InitialSituation!$Q$9:$Q$153,0))*$AH130)</f>
        <v>#VALUE!</v>
      </c>
      <c r="AJ130" s="392" t="e">
        <f>IF(AJ$75&lt;=CNTR_YearMergerSplit,"",INDEX(B_InitialSituation!H$9:H$153,MATCH($R130,B_InitialSituation!$Q$9:$Q$153,0))*$AH130)</f>
        <v>#VALUE!</v>
      </c>
      <c r="AK130" s="392" t="e">
        <f>IF(AK$75&lt;=CNTR_YearMergerSplit,"",INDEX(B_InitialSituation!I$9:I$153,MATCH($R130,B_InitialSituation!$Q$9:$Q$153,0))*$AH130)</f>
        <v>#VALUE!</v>
      </c>
      <c r="AL130" s="392" t="e">
        <f>IF(AL$75&lt;=CNTR_YearMergerSplit,"",INDEX(B_InitialSituation!J$9:J$153,MATCH($R130,B_InitialSituation!$Q$9:$Q$153,0))*$AH130)</f>
        <v>#VALUE!</v>
      </c>
      <c r="AM130" s="392" t="e">
        <f>IF(AM$75&lt;=CNTR_YearMergerSplit,"",INDEX(B_InitialSituation!K$9:K$153,MATCH($R130,B_InitialSituation!$Q$9:$Q$153,0))*$AH130)</f>
        <v>#VALUE!</v>
      </c>
      <c r="AN130" s="392" t="e">
        <f>IF(AN$75&lt;=CNTR_YearMergerSplit,"",INDEX(B_InitialSituation!L$9:L$153,MATCH($R130,B_InitialSituation!$Q$9:$Q$153,0))*$AH130)</f>
        <v>#VALUE!</v>
      </c>
      <c r="AO130" s="392" t="e">
        <f>IF(AO$75&lt;=CNTR_YearMergerSplit,"",INDEX(B_InitialSituation!M$9:M$153,MATCH($R130,B_InitialSituation!$Q$9:$Q$153,0))*$AH130)</f>
        <v>#VALUE!</v>
      </c>
      <c r="AP130" s="392" t="e">
        <f>IF(AP$75&lt;=CNTR_YearMergerSplit,"",INDEX(B_InitialSituation!N$9:N$153,MATCH($R130,B_InitialSituation!$Q$9:$Q$153,0))*$AH130)</f>
        <v>#VALUE!</v>
      </c>
      <c r="AQ130" s="384"/>
    </row>
    <row r="131" spans="1:43" s="483" customFormat="1" ht="12.75" customHeight="1">
      <c r="A131" s="4"/>
      <c r="B131" s="5"/>
      <c r="C131" s="515">
        <v>9</v>
      </c>
      <c r="D131" s="976">
        <f t="shared" si="46"/>
      </c>
      <c r="E131" s="977"/>
      <c r="F131" s="978"/>
      <c r="G131" s="517">
        <f t="shared" si="44"/>
      </c>
      <c r="H131" s="517">
        <f t="shared" si="35"/>
      </c>
      <c r="I131" s="517">
        <f t="shared" si="36"/>
      </c>
      <c r="J131" s="517">
        <f t="shared" si="37"/>
      </c>
      <c r="K131" s="517">
        <f t="shared" si="38"/>
      </c>
      <c r="L131" s="517">
        <f t="shared" si="39"/>
      </c>
      <c r="M131" s="517">
        <f t="shared" si="40"/>
      </c>
      <c r="N131" s="517">
        <f t="shared" si="41"/>
      </c>
      <c r="O131" s="288"/>
      <c r="P131" s="9"/>
      <c r="Q131" s="412" t="str">
        <f t="shared" si="42"/>
        <v>FInitial_1_</v>
      </c>
      <c r="R131" s="412" t="str">
        <f t="shared" si="43"/>
        <v>FInitial_2_</v>
      </c>
      <c r="S131" s="384"/>
      <c r="T131" s="414">
        <f>IF(COUNTIF(B_InitialSituation!$T$9:$T$153,$C131)=0,"",INDEX(B_InitialSituation!$D$9:$D$153,MATCH($C131,B_InitialSituation!$T$9:$T$153,0)))</f>
      </c>
      <c r="U131" s="384"/>
      <c r="V131" s="414">
        <f t="shared" si="45"/>
        <v>2</v>
      </c>
      <c r="W131" s="384"/>
      <c r="X131" s="391">
        <f>INDEX(CHOOSE($V131,C_MergerSplitTransfer!$H$9:$H$68,C_MergerSplitTransfer!$K$9:$K$68),MATCH(Q131,C_MergerSplitTransfer!$T$9:$T$68,0))</f>
      </c>
      <c r="Y131" s="392" t="e">
        <f>IF(Y$75&lt;=CNTR_YearMergerSplit,"",INDEX(B_InitialSituation!G$9:G$153,MATCH($Q131,B_InitialSituation!$Q$9:$Q$153,0))*$X131)</f>
        <v>#VALUE!</v>
      </c>
      <c r="Z131" s="392" t="e">
        <f>IF(Z$75&lt;=CNTR_YearMergerSplit,"",INDEX(B_InitialSituation!H$9:H$153,MATCH($Q131,B_InitialSituation!$Q$9:$Q$153,0))*$X131)</f>
        <v>#VALUE!</v>
      </c>
      <c r="AA131" s="392" t="e">
        <f>IF(AA$75&lt;=CNTR_YearMergerSplit,"",INDEX(B_InitialSituation!I$9:I$153,MATCH($Q131,B_InitialSituation!$Q$9:$Q$153,0))*$X131)</f>
        <v>#VALUE!</v>
      </c>
      <c r="AB131" s="392" t="e">
        <f>IF(AB$75&lt;=CNTR_YearMergerSplit,"",INDEX(B_InitialSituation!J$9:J$153,MATCH($Q131,B_InitialSituation!$Q$9:$Q$153,0))*$X131)</f>
        <v>#VALUE!</v>
      </c>
      <c r="AC131" s="392" t="e">
        <f>IF(AC$75&lt;=CNTR_YearMergerSplit,"",INDEX(B_InitialSituation!K$9:K$153,MATCH($Q131,B_InitialSituation!$Q$9:$Q$153,0))*$X131)</f>
        <v>#VALUE!</v>
      </c>
      <c r="AD131" s="392" t="e">
        <f>IF(AD$75&lt;=CNTR_YearMergerSplit,"",INDEX(B_InitialSituation!L$9:L$153,MATCH($Q131,B_InitialSituation!$Q$9:$Q$153,0))*$X131)</f>
        <v>#VALUE!</v>
      </c>
      <c r="AE131" s="392" t="e">
        <f>IF(AE$75&lt;=CNTR_YearMergerSplit,"",INDEX(B_InitialSituation!M$9:M$153,MATCH($Q131,B_InitialSituation!$Q$9:$Q$153,0))*$X131)</f>
        <v>#VALUE!</v>
      </c>
      <c r="AF131" s="392" t="e">
        <f>IF(AF$75&lt;=CNTR_YearMergerSplit,"",INDEX(B_InitialSituation!N$9:N$153,MATCH($Q131,B_InitialSituation!$Q$9:$Q$153,0))*$X131)</f>
        <v>#VALUE!</v>
      </c>
      <c r="AG131" s="384"/>
      <c r="AH131" s="391">
        <f>INDEX(CHOOSE($V131,C_MergerSplitTransfer!$H$9:$H$68,C_MergerSplitTransfer!$K$9:$K$68),MATCH(R131,C_MergerSplitTransfer!$T$9:$T$68,0))</f>
      </c>
      <c r="AI131" s="392" t="e">
        <f>IF(AI$75&lt;=CNTR_YearMergerSplit,"",INDEX(B_InitialSituation!G$9:G$153,MATCH($R131,B_InitialSituation!$Q$9:$Q$153,0))*$AH131)</f>
        <v>#VALUE!</v>
      </c>
      <c r="AJ131" s="392" t="e">
        <f>IF(AJ$75&lt;=CNTR_YearMergerSplit,"",INDEX(B_InitialSituation!H$9:H$153,MATCH($R131,B_InitialSituation!$Q$9:$Q$153,0))*$AH131)</f>
        <v>#VALUE!</v>
      </c>
      <c r="AK131" s="392" t="e">
        <f>IF(AK$75&lt;=CNTR_YearMergerSplit,"",INDEX(B_InitialSituation!I$9:I$153,MATCH($R131,B_InitialSituation!$Q$9:$Q$153,0))*$AH131)</f>
        <v>#VALUE!</v>
      </c>
      <c r="AL131" s="392" t="e">
        <f>IF(AL$75&lt;=CNTR_YearMergerSplit,"",INDEX(B_InitialSituation!J$9:J$153,MATCH($R131,B_InitialSituation!$Q$9:$Q$153,0))*$AH131)</f>
        <v>#VALUE!</v>
      </c>
      <c r="AM131" s="392" t="e">
        <f>IF(AM$75&lt;=CNTR_YearMergerSplit,"",INDEX(B_InitialSituation!K$9:K$153,MATCH($R131,B_InitialSituation!$Q$9:$Q$153,0))*$AH131)</f>
        <v>#VALUE!</v>
      </c>
      <c r="AN131" s="392" t="e">
        <f>IF(AN$75&lt;=CNTR_YearMergerSplit,"",INDEX(B_InitialSituation!L$9:L$153,MATCH($R131,B_InitialSituation!$Q$9:$Q$153,0))*$AH131)</f>
        <v>#VALUE!</v>
      </c>
      <c r="AO131" s="392" t="e">
        <f>IF(AO$75&lt;=CNTR_YearMergerSplit,"",INDEX(B_InitialSituation!M$9:M$153,MATCH($R131,B_InitialSituation!$Q$9:$Q$153,0))*$AH131)</f>
        <v>#VALUE!</v>
      </c>
      <c r="AP131" s="392" t="e">
        <f>IF(AP$75&lt;=CNTR_YearMergerSplit,"",INDEX(B_InitialSituation!N$9:N$153,MATCH($R131,B_InitialSituation!$Q$9:$Q$153,0))*$AH131)</f>
        <v>#VALUE!</v>
      </c>
      <c r="AQ131" s="384"/>
    </row>
    <row r="132" spans="1:43" s="483" customFormat="1" ht="12.75" customHeight="1" thickBot="1">
      <c r="A132" s="4"/>
      <c r="B132" s="5"/>
      <c r="C132" s="518">
        <v>10</v>
      </c>
      <c r="D132" s="979">
        <f t="shared" si="46"/>
      </c>
      <c r="E132" s="980"/>
      <c r="F132" s="981"/>
      <c r="G132" s="519">
        <f t="shared" si="44"/>
      </c>
      <c r="H132" s="519">
        <f t="shared" si="35"/>
      </c>
      <c r="I132" s="519">
        <f t="shared" si="36"/>
      </c>
      <c r="J132" s="519">
        <f t="shared" si="37"/>
      </c>
      <c r="K132" s="519">
        <f t="shared" si="38"/>
      </c>
      <c r="L132" s="519">
        <f t="shared" si="39"/>
      </c>
      <c r="M132" s="519">
        <f t="shared" si="40"/>
      </c>
      <c r="N132" s="519">
        <f t="shared" si="41"/>
      </c>
      <c r="O132" s="288"/>
      <c r="P132" s="9"/>
      <c r="Q132" s="412" t="str">
        <f t="shared" si="42"/>
        <v>FInitial_1_</v>
      </c>
      <c r="R132" s="412" t="str">
        <f t="shared" si="43"/>
        <v>FInitial_2_</v>
      </c>
      <c r="S132" s="384"/>
      <c r="T132" s="415">
        <f>IF(COUNTIF(B_InitialSituation!$T$9:$T$153,$C132)=0,"",INDEX(B_InitialSituation!$D$9:$D$153,MATCH($C132,B_InitialSituation!$T$9:$T$153,0)))</f>
      </c>
      <c r="U132" s="384"/>
      <c r="V132" s="414">
        <f t="shared" si="45"/>
        <v>2</v>
      </c>
      <c r="W132" s="384"/>
      <c r="X132" s="393">
        <f>INDEX(CHOOSE($V132,C_MergerSplitTransfer!$H$9:$H$68,C_MergerSplitTransfer!$K$9:$K$68),MATCH(Q132,C_MergerSplitTransfer!$T$9:$T$68,0))</f>
      </c>
      <c r="Y132" s="394" t="e">
        <f>IF(Y$75&lt;=CNTR_YearMergerSplit,"",INDEX(B_InitialSituation!G$9:G$153,MATCH($Q132,B_InitialSituation!$Q$9:$Q$153,0))*$X132)</f>
        <v>#VALUE!</v>
      </c>
      <c r="Z132" s="394" t="e">
        <f>IF(Z$75&lt;=CNTR_YearMergerSplit,"",INDEX(B_InitialSituation!H$9:H$153,MATCH($Q132,B_InitialSituation!$Q$9:$Q$153,0))*$X132)</f>
        <v>#VALUE!</v>
      </c>
      <c r="AA132" s="394" t="e">
        <f>IF(AA$75&lt;=CNTR_YearMergerSplit,"",INDEX(B_InitialSituation!I$9:I$153,MATCH($Q132,B_InitialSituation!$Q$9:$Q$153,0))*$X132)</f>
        <v>#VALUE!</v>
      </c>
      <c r="AB132" s="394" t="e">
        <f>IF(AB$75&lt;=CNTR_YearMergerSplit,"",INDEX(B_InitialSituation!J$9:J$153,MATCH($Q132,B_InitialSituation!$Q$9:$Q$153,0))*$X132)</f>
        <v>#VALUE!</v>
      </c>
      <c r="AC132" s="394" t="e">
        <f>IF(AC$75&lt;=CNTR_YearMergerSplit,"",INDEX(B_InitialSituation!K$9:K$153,MATCH($Q132,B_InitialSituation!$Q$9:$Q$153,0))*$X132)</f>
        <v>#VALUE!</v>
      </c>
      <c r="AD132" s="394" t="e">
        <f>IF(AD$75&lt;=CNTR_YearMergerSplit,"",INDEX(B_InitialSituation!L$9:L$153,MATCH($Q132,B_InitialSituation!$Q$9:$Q$153,0))*$X132)</f>
        <v>#VALUE!</v>
      </c>
      <c r="AE132" s="394" t="e">
        <f>IF(AE$75&lt;=CNTR_YearMergerSplit,"",INDEX(B_InitialSituation!M$9:M$153,MATCH($Q132,B_InitialSituation!$Q$9:$Q$153,0))*$X132)</f>
        <v>#VALUE!</v>
      </c>
      <c r="AF132" s="394" t="e">
        <f>IF(AF$75&lt;=CNTR_YearMergerSplit,"",INDEX(B_InitialSituation!N$9:N$153,MATCH($Q132,B_InitialSituation!$Q$9:$Q$153,0))*$X132)</f>
        <v>#VALUE!</v>
      </c>
      <c r="AG132" s="384"/>
      <c r="AH132" s="393">
        <f>INDEX(CHOOSE($V132,C_MergerSplitTransfer!$H$9:$H$68,C_MergerSplitTransfer!$K$9:$K$68),MATCH(R132,C_MergerSplitTransfer!$T$9:$T$68,0))</f>
      </c>
      <c r="AI132" s="394" t="e">
        <f>IF(AI$75&lt;=CNTR_YearMergerSplit,"",INDEX(B_InitialSituation!G$9:G$153,MATCH($R132,B_InitialSituation!$Q$9:$Q$153,0))*$AH132)</f>
        <v>#VALUE!</v>
      </c>
      <c r="AJ132" s="394" t="e">
        <f>IF(AJ$75&lt;=CNTR_YearMergerSplit,"",INDEX(B_InitialSituation!H$9:H$153,MATCH($R132,B_InitialSituation!$Q$9:$Q$153,0))*$AH132)</f>
        <v>#VALUE!</v>
      </c>
      <c r="AK132" s="394" t="e">
        <f>IF(AK$75&lt;=CNTR_YearMergerSplit,"",INDEX(B_InitialSituation!I$9:I$153,MATCH($R132,B_InitialSituation!$Q$9:$Q$153,0))*$AH132)</f>
        <v>#VALUE!</v>
      </c>
      <c r="AL132" s="394" t="e">
        <f>IF(AL$75&lt;=CNTR_YearMergerSplit,"",INDEX(B_InitialSituation!J$9:J$153,MATCH($R132,B_InitialSituation!$Q$9:$Q$153,0))*$AH132)</f>
        <v>#VALUE!</v>
      </c>
      <c r="AM132" s="394" t="e">
        <f>IF(AM$75&lt;=CNTR_YearMergerSplit,"",INDEX(B_InitialSituation!K$9:K$153,MATCH($R132,B_InitialSituation!$Q$9:$Q$153,0))*$AH132)</f>
        <v>#VALUE!</v>
      </c>
      <c r="AN132" s="394" t="e">
        <f>IF(AN$75&lt;=CNTR_YearMergerSplit,"",INDEX(B_InitialSituation!L$9:L$153,MATCH($R132,B_InitialSituation!$Q$9:$Q$153,0))*$AH132)</f>
        <v>#VALUE!</v>
      </c>
      <c r="AO132" s="394" t="e">
        <f>IF(AO$75&lt;=CNTR_YearMergerSplit,"",INDEX(B_InitialSituation!M$9:M$153,MATCH($R132,B_InitialSituation!$Q$9:$Q$153,0))*$AH132)</f>
        <v>#VALUE!</v>
      </c>
      <c r="AP132" s="394" t="e">
        <f>IF(AP$75&lt;=CNTR_YearMergerSplit,"",INDEX(B_InitialSituation!N$9:N$153,MATCH($R132,B_InitialSituation!$Q$9:$Q$153,0))*$AH132)</f>
        <v>#VALUE!</v>
      </c>
      <c r="AQ132" s="384"/>
    </row>
    <row r="133" spans="1:43" s="483" customFormat="1" ht="24.75" customHeight="1">
      <c r="A133" s="4"/>
      <c r="B133" s="5"/>
      <c r="C133" s="515">
        <v>11</v>
      </c>
      <c r="D133" s="982" t="str">
        <f aca="true" t="shared" si="47" ref="D133:D138">INDEX(EUconst_FallBackListNames,C133-10)</f>
        <v>Подинсталация с топлинен показател, с риск от изтичане на въглерод</v>
      </c>
      <c r="E133" s="983"/>
      <c r="F133" s="984"/>
      <c r="G133" s="516">
        <f t="shared" si="44"/>
      </c>
      <c r="H133" s="516">
        <f t="shared" si="35"/>
      </c>
      <c r="I133" s="516">
        <f t="shared" si="36"/>
      </c>
      <c r="J133" s="516">
        <f t="shared" si="37"/>
      </c>
      <c r="K133" s="516">
        <f t="shared" si="38"/>
      </c>
      <c r="L133" s="516">
        <f t="shared" si="39"/>
      </c>
      <c r="M133" s="516">
        <f t="shared" si="40"/>
      </c>
      <c r="N133" s="516">
        <f t="shared" si="41"/>
      </c>
      <c r="O133" s="288"/>
      <c r="P133" s="9"/>
      <c r="Q133" s="412" t="str">
        <f t="shared" si="42"/>
        <v>FInitial_1_Подинсталация с топлинен показател, с риск от изтичане на въглерод</v>
      </c>
      <c r="R133" s="412" t="str">
        <f t="shared" si="43"/>
        <v>FInitial_2_Подинсталация с топлинен показател, с риск от изтичане на въглерод</v>
      </c>
      <c r="S133" s="384"/>
      <c r="T133" s="384"/>
      <c r="U133" s="384"/>
      <c r="V133" s="414">
        <f t="shared" si="45"/>
        <v>2</v>
      </c>
      <c r="W133" s="384"/>
      <c r="X133" s="389">
        <f>INDEX(CHOOSE($V133,C_MergerSplitTransfer!$H$9:$H$68,C_MergerSplitTransfer!$K$9:$K$68),MATCH(Q133,C_MergerSplitTransfer!$T$9:$T$68,0))</f>
      </c>
      <c r="Y133" s="390" t="e">
        <f>IF(Y$75&lt;=CNTR_YearMergerSplit,"",INDEX(B_InitialSituation!G$9:G$153,MATCH($Q133,B_InitialSituation!$Q$9:$Q$153,0))*$X133)</f>
        <v>#VALUE!</v>
      </c>
      <c r="Z133" s="390" t="e">
        <f>IF(Z$75&lt;=CNTR_YearMergerSplit,"",INDEX(B_InitialSituation!H$9:H$153,MATCH($Q133,B_InitialSituation!$Q$9:$Q$153,0))*$X133)</f>
        <v>#VALUE!</v>
      </c>
      <c r="AA133" s="390" t="e">
        <f>IF(AA$75&lt;=CNTR_YearMergerSplit,"",INDEX(B_InitialSituation!I$9:I$153,MATCH($Q133,B_InitialSituation!$Q$9:$Q$153,0))*$X133)</f>
        <v>#VALUE!</v>
      </c>
      <c r="AB133" s="390" t="e">
        <f>IF(AB$75&lt;=CNTR_YearMergerSplit,"",INDEX(B_InitialSituation!J$9:J$153,MATCH($Q133,B_InitialSituation!$Q$9:$Q$153,0))*$X133)</f>
        <v>#VALUE!</v>
      </c>
      <c r="AC133" s="390" t="e">
        <f>IF(AC$75&lt;=CNTR_YearMergerSplit,"",INDEX(B_InitialSituation!K$9:K$153,MATCH($Q133,B_InitialSituation!$Q$9:$Q$153,0))*$X133)</f>
        <v>#VALUE!</v>
      </c>
      <c r="AD133" s="390" t="e">
        <f>IF(AD$75&lt;=CNTR_YearMergerSplit,"",INDEX(B_InitialSituation!L$9:L$153,MATCH($Q133,B_InitialSituation!$Q$9:$Q$153,0))*$X133)</f>
        <v>#VALUE!</v>
      </c>
      <c r="AE133" s="390" t="e">
        <f>IF(AE$75&lt;=CNTR_YearMergerSplit,"",INDEX(B_InitialSituation!M$9:M$153,MATCH($Q133,B_InitialSituation!$Q$9:$Q$153,0))*$X133)</f>
        <v>#VALUE!</v>
      </c>
      <c r="AF133" s="390" t="e">
        <f>IF(AF$75&lt;=CNTR_YearMergerSplit,"",INDEX(B_InitialSituation!N$9:N$153,MATCH($Q133,B_InitialSituation!$Q$9:$Q$153,0))*$X133)</f>
        <v>#VALUE!</v>
      </c>
      <c r="AG133" s="384"/>
      <c r="AH133" s="389">
        <f>INDEX(CHOOSE($V133,C_MergerSplitTransfer!$H$9:$H$68,C_MergerSplitTransfer!$K$9:$K$68),MATCH(R133,C_MergerSplitTransfer!$T$9:$T$68,0))</f>
      </c>
      <c r="AI133" s="390" t="e">
        <f>IF(AI$75&lt;=CNTR_YearMergerSplit,"",INDEX(B_InitialSituation!G$9:G$153,MATCH($R133,B_InitialSituation!$Q$9:$Q$153,0))*$AH133)</f>
        <v>#VALUE!</v>
      </c>
      <c r="AJ133" s="390" t="e">
        <f>IF(AJ$75&lt;=CNTR_YearMergerSplit,"",INDEX(B_InitialSituation!H$9:H$153,MATCH($R133,B_InitialSituation!$Q$9:$Q$153,0))*$AH133)</f>
        <v>#VALUE!</v>
      </c>
      <c r="AK133" s="390" t="e">
        <f>IF(AK$75&lt;=CNTR_YearMergerSplit,"",INDEX(B_InitialSituation!I$9:I$153,MATCH($R133,B_InitialSituation!$Q$9:$Q$153,0))*$AH133)</f>
        <v>#VALUE!</v>
      </c>
      <c r="AL133" s="390" t="e">
        <f>IF(AL$75&lt;=CNTR_YearMergerSplit,"",INDEX(B_InitialSituation!J$9:J$153,MATCH($R133,B_InitialSituation!$Q$9:$Q$153,0))*$AH133)</f>
        <v>#VALUE!</v>
      </c>
      <c r="AM133" s="390" t="e">
        <f>IF(AM$75&lt;=CNTR_YearMergerSplit,"",INDEX(B_InitialSituation!K$9:K$153,MATCH($R133,B_InitialSituation!$Q$9:$Q$153,0))*$AH133)</f>
        <v>#VALUE!</v>
      </c>
      <c r="AN133" s="390" t="e">
        <f>IF(AN$75&lt;=CNTR_YearMergerSplit,"",INDEX(B_InitialSituation!L$9:L$153,MATCH($R133,B_InitialSituation!$Q$9:$Q$153,0))*$AH133)</f>
        <v>#VALUE!</v>
      </c>
      <c r="AO133" s="390" t="e">
        <f>IF(AO$75&lt;=CNTR_YearMergerSplit,"",INDEX(B_InitialSituation!M$9:M$153,MATCH($R133,B_InitialSituation!$Q$9:$Q$153,0))*$AH133)</f>
        <v>#VALUE!</v>
      </c>
      <c r="AP133" s="390" t="e">
        <f>IF(AP$75&lt;=CNTR_YearMergerSplit,"",INDEX(B_InitialSituation!N$9:N$153,MATCH($R133,B_InitialSituation!$Q$9:$Q$153,0))*$AH133)</f>
        <v>#VALUE!</v>
      </c>
      <c r="AQ133" s="384"/>
    </row>
    <row r="134" spans="1:43" s="483" customFormat="1" ht="24.75" customHeight="1">
      <c r="A134" s="4"/>
      <c r="B134" s="5"/>
      <c r="C134" s="515">
        <v>12</v>
      </c>
      <c r="D134" s="985" t="str">
        <f t="shared" si="47"/>
        <v>Подинсталация с топлинен показател, без риск от изтичане на въглерод</v>
      </c>
      <c r="E134" s="986"/>
      <c r="F134" s="987"/>
      <c r="G134" s="517">
        <f t="shared" si="44"/>
      </c>
      <c r="H134" s="517">
        <f t="shared" si="35"/>
      </c>
      <c r="I134" s="517">
        <f t="shared" si="36"/>
      </c>
      <c r="J134" s="517">
        <f t="shared" si="37"/>
      </c>
      <c r="K134" s="517">
        <f t="shared" si="38"/>
      </c>
      <c r="L134" s="517">
        <f t="shared" si="39"/>
      </c>
      <c r="M134" s="517">
        <f t="shared" si="40"/>
      </c>
      <c r="N134" s="517">
        <f t="shared" si="41"/>
      </c>
      <c r="O134" s="288"/>
      <c r="P134" s="9"/>
      <c r="Q134" s="412" t="str">
        <f t="shared" si="42"/>
        <v>FInitial_1_Подинсталация с топлинен показател, без риск от изтичане на въглерод</v>
      </c>
      <c r="R134" s="412" t="str">
        <f t="shared" si="43"/>
        <v>FInitial_2_Подинсталация с топлинен показател, без риск от изтичане на въглерод</v>
      </c>
      <c r="S134" s="384"/>
      <c r="T134" s="384"/>
      <c r="U134" s="384"/>
      <c r="V134" s="414">
        <f t="shared" si="45"/>
        <v>2</v>
      </c>
      <c r="W134" s="384"/>
      <c r="X134" s="391">
        <f>INDEX(CHOOSE($V134,C_MergerSplitTransfer!$H$9:$H$68,C_MergerSplitTransfer!$K$9:$K$68),MATCH(Q134,C_MergerSplitTransfer!$T$9:$T$68,0))</f>
      </c>
      <c r="Y134" s="392" t="e">
        <f>IF(Y$75&lt;=CNTR_YearMergerSplit,"",INDEX(B_InitialSituation!G$9:G$153,MATCH($Q134,B_InitialSituation!$Q$9:$Q$153,0))*$X134)</f>
        <v>#VALUE!</v>
      </c>
      <c r="Z134" s="392" t="e">
        <f>IF(Z$75&lt;=CNTR_YearMergerSplit,"",INDEX(B_InitialSituation!H$9:H$153,MATCH($Q134,B_InitialSituation!$Q$9:$Q$153,0))*$X134)</f>
        <v>#VALUE!</v>
      </c>
      <c r="AA134" s="392" t="e">
        <f>IF(AA$75&lt;=CNTR_YearMergerSplit,"",INDEX(B_InitialSituation!I$9:I$153,MATCH($Q134,B_InitialSituation!$Q$9:$Q$153,0))*$X134)</f>
        <v>#VALUE!</v>
      </c>
      <c r="AB134" s="392" t="e">
        <f>IF(AB$75&lt;=CNTR_YearMergerSplit,"",INDEX(B_InitialSituation!J$9:J$153,MATCH($Q134,B_InitialSituation!$Q$9:$Q$153,0))*$X134)</f>
        <v>#VALUE!</v>
      </c>
      <c r="AC134" s="392" t="e">
        <f>IF(AC$75&lt;=CNTR_YearMergerSplit,"",INDEX(B_InitialSituation!K$9:K$153,MATCH($Q134,B_InitialSituation!$Q$9:$Q$153,0))*$X134)</f>
        <v>#VALUE!</v>
      </c>
      <c r="AD134" s="392" t="e">
        <f>IF(AD$75&lt;=CNTR_YearMergerSplit,"",INDEX(B_InitialSituation!L$9:L$153,MATCH($Q134,B_InitialSituation!$Q$9:$Q$153,0))*$X134)</f>
        <v>#VALUE!</v>
      </c>
      <c r="AE134" s="392" t="e">
        <f>IF(AE$75&lt;=CNTR_YearMergerSplit,"",INDEX(B_InitialSituation!M$9:M$153,MATCH($Q134,B_InitialSituation!$Q$9:$Q$153,0))*$X134)</f>
        <v>#VALUE!</v>
      </c>
      <c r="AF134" s="392" t="e">
        <f>IF(AF$75&lt;=CNTR_YearMergerSplit,"",INDEX(B_InitialSituation!N$9:N$153,MATCH($Q134,B_InitialSituation!$Q$9:$Q$153,0))*$X134)</f>
        <v>#VALUE!</v>
      </c>
      <c r="AG134" s="384"/>
      <c r="AH134" s="391">
        <f>INDEX(CHOOSE($V134,C_MergerSplitTransfer!$H$9:$H$68,C_MergerSplitTransfer!$K$9:$K$68),MATCH(R134,C_MergerSplitTransfer!$T$9:$T$68,0))</f>
      </c>
      <c r="AI134" s="392" t="e">
        <f>IF(AI$75&lt;=CNTR_YearMergerSplit,"",INDEX(B_InitialSituation!G$9:G$153,MATCH($R134,B_InitialSituation!$Q$9:$Q$153,0))*$AH134)</f>
        <v>#VALUE!</v>
      </c>
      <c r="AJ134" s="392" t="e">
        <f>IF(AJ$75&lt;=CNTR_YearMergerSplit,"",INDEX(B_InitialSituation!H$9:H$153,MATCH($R134,B_InitialSituation!$Q$9:$Q$153,0))*$AH134)</f>
        <v>#VALUE!</v>
      </c>
      <c r="AK134" s="392" t="e">
        <f>IF(AK$75&lt;=CNTR_YearMergerSplit,"",INDEX(B_InitialSituation!I$9:I$153,MATCH($R134,B_InitialSituation!$Q$9:$Q$153,0))*$AH134)</f>
        <v>#VALUE!</v>
      </c>
      <c r="AL134" s="392" t="e">
        <f>IF(AL$75&lt;=CNTR_YearMergerSplit,"",INDEX(B_InitialSituation!J$9:J$153,MATCH($R134,B_InitialSituation!$Q$9:$Q$153,0))*$AH134)</f>
        <v>#VALUE!</v>
      </c>
      <c r="AM134" s="392" t="e">
        <f>IF(AM$75&lt;=CNTR_YearMergerSplit,"",INDEX(B_InitialSituation!K$9:K$153,MATCH($R134,B_InitialSituation!$Q$9:$Q$153,0))*$AH134)</f>
        <v>#VALUE!</v>
      </c>
      <c r="AN134" s="392" t="e">
        <f>IF(AN$75&lt;=CNTR_YearMergerSplit,"",INDEX(B_InitialSituation!L$9:L$153,MATCH($R134,B_InitialSituation!$Q$9:$Q$153,0))*$AH134)</f>
        <v>#VALUE!</v>
      </c>
      <c r="AO134" s="392" t="e">
        <f>IF(AO$75&lt;=CNTR_YearMergerSplit,"",INDEX(B_InitialSituation!M$9:M$153,MATCH($R134,B_InitialSituation!$Q$9:$Q$153,0))*$AH134)</f>
        <v>#VALUE!</v>
      </c>
      <c r="AP134" s="392" t="e">
        <f>IF(AP$75&lt;=CNTR_YearMergerSplit,"",INDEX(B_InitialSituation!N$9:N$153,MATCH($R134,B_InitialSituation!$Q$9:$Q$153,0))*$AH134)</f>
        <v>#VALUE!</v>
      </c>
      <c r="AQ134" s="384"/>
    </row>
    <row r="135" spans="1:43" s="483" customFormat="1" ht="24.75" customHeight="1">
      <c r="A135" s="4"/>
      <c r="B135" s="5"/>
      <c r="C135" s="515">
        <v>13</v>
      </c>
      <c r="D135" s="985" t="str">
        <f t="shared" si="47"/>
        <v>Подинсталация с горивен показател, с риск от изтичане на въглерод</v>
      </c>
      <c r="E135" s="986"/>
      <c r="F135" s="987"/>
      <c r="G135" s="517">
        <f t="shared" si="44"/>
      </c>
      <c r="H135" s="517">
        <f t="shared" si="35"/>
      </c>
      <c r="I135" s="517">
        <f t="shared" si="36"/>
      </c>
      <c r="J135" s="517">
        <f t="shared" si="37"/>
      </c>
      <c r="K135" s="517">
        <f t="shared" si="38"/>
      </c>
      <c r="L135" s="517">
        <f t="shared" si="39"/>
      </c>
      <c r="M135" s="517">
        <f t="shared" si="40"/>
      </c>
      <c r="N135" s="517">
        <f t="shared" si="41"/>
      </c>
      <c r="O135" s="288"/>
      <c r="P135" s="9"/>
      <c r="Q135" s="412" t="str">
        <f t="shared" si="42"/>
        <v>FInitial_1_Подинсталация с горивен показател, с риск от изтичане на въглерод</v>
      </c>
      <c r="R135" s="412" t="str">
        <f t="shared" si="43"/>
        <v>FInitial_2_Подинсталация с горивен показател, с риск от изтичане на въглерод</v>
      </c>
      <c r="S135" s="384"/>
      <c r="T135" s="384"/>
      <c r="U135" s="384"/>
      <c r="V135" s="414">
        <f t="shared" si="45"/>
        <v>2</v>
      </c>
      <c r="W135" s="384"/>
      <c r="X135" s="391">
        <f>INDEX(CHOOSE($V135,C_MergerSplitTransfer!$H$9:$H$68,C_MergerSplitTransfer!$K$9:$K$68),MATCH(Q135,C_MergerSplitTransfer!$T$9:$T$68,0))</f>
      </c>
      <c r="Y135" s="392" t="e">
        <f>IF(Y$75&lt;=CNTR_YearMergerSplit,"",INDEX(B_InitialSituation!G$9:G$153,MATCH($Q135,B_InitialSituation!$Q$9:$Q$153,0))*$X135)</f>
        <v>#VALUE!</v>
      </c>
      <c r="Z135" s="392" t="e">
        <f>IF(Z$75&lt;=CNTR_YearMergerSplit,"",INDEX(B_InitialSituation!H$9:H$153,MATCH($Q135,B_InitialSituation!$Q$9:$Q$153,0))*$X135)</f>
        <v>#VALUE!</v>
      </c>
      <c r="AA135" s="392" t="e">
        <f>IF(AA$75&lt;=CNTR_YearMergerSplit,"",INDEX(B_InitialSituation!I$9:I$153,MATCH($Q135,B_InitialSituation!$Q$9:$Q$153,0))*$X135)</f>
        <v>#VALUE!</v>
      </c>
      <c r="AB135" s="392" t="e">
        <f>IF(AB$75&lt;=CNTR_YearMergerSplit,"",INDEX(B_InitialSituation!J$9:J$153,MATCH($Q135,B_InitialSituation!$Q$9:$Q$153,0))*$X135)</f>
        <v>#VALUE!</v>
      </c>
      <c r="AC135" s="392" t="e">
        <f>IF(AC$75&lt;=CNTR_YearMergerSplit,"",INDEX(B_InitialSituation!K$9:K$153,MATCH($Q135,B_InitialSituation!$Q$9:$Q$153,0))*$X135)</f>
        <v>#VALUE!</v>
      </c>
      <c r="AD135" s="392" t="e">
        <f>IF(AD$75&lt;=CNTR_YearMergerSplit,"",INDEX(B_InitialSituation!L$9:L$153,MATCH($Q135,B_InitialSituation!$Q$9:$Q$153,0))*$X135)</f>
        <v>#VALUE!</v>
      </c>
      <c r="AE135" s="392" t="e">
        <f>IF(AE$75&lt;=CNTR_YearMergerSplit,"",INDEX(B_InitialSituation!M$9:M$153,MATCH($Q135,B_InitialSituation!$Q$9:$Q$153,0))*$X135)</f>
        <v>#VALUE!</v>
      </c>
      <c r="AF135" s="392" t="e">
        <f>IF(AF$75&lt;=CNTR_YearMergerSplit,"",INDEX(B_InitialSituation!N$9:N$153,MATCH($Q135,B_InitialSituation!$Q$9:$Q$153,0))*$X135)</f>
        <v>#VALUE!</v>
      </c>
      <c r="AG135" s="384"/>
      <c r="AH135" s="391">
        <f>INDEX(CHOOSE($V135,C_MergerSplitTransfer!$H$9:$H$68,C_MergerSplitTransfer!$K$9:$K$68),MATCH(R135,C_MergerSplitTransfer!$T$9:$T$68,0))</f>
      </c>
      <c r="AI135" s="392" t="e">
        <f>IF(AI$75&lt;=CNTR_YearMergerSplit,"",INDEX(B_InitialSituation!G$9:G$153,MATCH($R135,B_InitialSituation!$Q$9:$Q$153,0))*$AH135)</f>
        <v>#VALUE!</v>
      </c>
      <c r="AJ135" s="392" t="e">
        <f>IF(AJ$75&lt;=CNTR_YearMergerSplit,"",INDEX(B_InitialSituation!H$9:H$153,MATCH($R135,B_InitialSituation!$Q$9:$Q$153,0))*$AH135)</f>
        <v>#VALUE!</v>
      </c>
      <c r="AK135" s="392" t="e">
        <f>IF(AK$75&lt;=CNTR_YearMergerSplit,"",INDEX(B_InitialSituation!I$9:I$153,MATCH($R135,B_InitialSituation!$Q$9:$Q$153,0))*$AH135)</f>
        <v>#VALUE!</v>
      </c>
      <c r="AL135" s="392" t="e">
        <f>IF(AL$75&lt;=CNTR_YearMergerSplit,"",INDEX(B_InitialSituation!J$9:J$153,MATCH($R135,B_InitialSituation!$Q$9:$Q$153,0))*$AH135)</f>
        <v>#VALUE!</v>
      </c>
      <c r="AM135" s="392" t="e">
        <f>IF(AM$75&lt;=CNTR_YearMergerSplit,"",INDEX(B_InitialSituation!K$9:K$153,MATCH($R135,B_InitialSituation!$Q$9:$Q$153,0))*$AH135)</f>
        <v>#VALUE!</v>
      </c>
      <c r="AN135" s="392" t="e">
        <f>IF(AN$75&lt;=CNTR_YearMergerSplit,"",INDEX(B_InitialSituation!L$9:L$153,MATCH($R135,B_InitialSituation!$Q$9:$Q$153,0))*$AH135)</f>
        <v>#VALUE!</v>
      </c>
      <c r="AO135" s="392" t="e">
        <f>IF(AO$75&lt;=CNTR_YearMergerSplit,"",INDEX(B_InitialSituation!M$9:M$153,MATCH($R135,B_InitialSituation!$Q$9:$Q$153,0))*$AH135)</f>
        <v>#VALUE!</v>
      </c>
      <c r="AP135" s="392" t="e">
        <f>IF(AP$75&lt;=CNTR_YearMergerSplit,"",INDEX(B_InitialSituation!N$9:N$153,MATCH($R135,B_InitialSituation!$Q$9:$Q$153,0))*$AH135)</f>
        <v>#VALUE!</v>
      </c>
      <c r="AQ135" s="384"/>
    </row>
    <row r="136" spans="1:43" s="483" customFormat="1" ht="24.75" customHeight="1">
      <c r="A136" s="4"/>
      <c r="B136" s="5"/>
      <c r="C136" s="515">
        <v>14</v>
      </c>
      <c r="D136" s="985" t="str">
        <f t="shared" si="47"/>
        <v>Подинсталация с горивен показател, без риск от изтичане на въглерод</v>
      </c>
      <c r="E136" s="986"/>
      <c r="F136" s="987"/>
      <c r="G136" s="517">
        <f t="shared" si="44"/>
      </c>
      <c r="H136" s="517">
        <f t="shared" si="35"/>
      </c>
      <c r="I136" s="517">
        <f t="shared" si="36"/>
      </c>
      <c r="J136" s="517">
        <f t="shared" si="37"/>
      </c>
      <c r="K136" s="517">
        <f t="shared" si="38"/>
      </c>
      <c r="L136" s="517">
        <f t="shared" si="39"/>
      </c>
      <c r="M136" s="517">
        <f t="shared" si="40"/>
      </c>
      <c r="N136" s="517">
        <f t="shared" si="41"/>
      </c>
      <c r="O136" s="288"/>
      <c r="P136" s="9"/>
      <c r="Q136" s="412" t="str">
        <f t="shared" si="42"/>
        <v>FInitial_1_Подинсталация с горивен показател, без риск от изтичане на въглерод</v>
      </c>
      <c r="R136" s="412" t="str">
        <f t="shared" si="43"/>
        <v>FInitial_2_Подинсталация с горивен показател, без риск от изтичане на въглерод</v>
      </c>
      <c r="S136" s="384"/>
      <c r="T136" s="384"/>
      <c r="U136" s="384"/>
      <c r="V136" s="414">
        <f t="shared" si="45"/>
        <v>2</v>
      </c>
      <c r="W136" s="384"/>
      <c r="X136" s="391">
        <f>INDEX(CHOOSE($V136,C_MergerSplitTransfer!$H$9:$H$68,C_MergerSplitTransfer!$K$9:$K$68),MATCH(Q136,C_MergerSplitTransfer!$T$9:$T$68,0))</f>
      </c>
      <c r="Y136" s="392" t="e">
        <f>IF(Y$75&lt;=CNTR_YearMergerSplit,"",INDEX(B_InitialSituation!G$9:G$153,MATCH($Q136,B_InitialSituation!$Q$9:$Q$153,0))*$X136)</f>
        <v>#VALUE!</v>
      </c>
      <c r="Z136" s="392" t="e">
        <f>IF(Z$75&lt;=CNTR_YearMergerSplit,"",INDEX(B_InitialSituation!H$9:H$153,MATCH($Q136,B_InitialSituation!$Q$9:$Q$153,0))*$X136)</f>
        <v>#VALUE!</v>
      </c>
      <c r="AA136" s="392" t="e">
        <f>IF(AA$75&lt;=CNTR_YearMergerSplit,"",INDEX(B_InitialSituation!I$9:I$153,MATCH($Q136,B_InitialSituation!$Q$9:$Q$153,0))*$X136)</f>
        <v>#VALUE!</v>
      </c>
      <c r="AB136" s="392" t="e">
        <f>IF(AB$75&lt;=CNTR_YearMergerSplit,"",INDEX(B_InitialSituation!J$9:J$153,MATCH($Q136,B_InitialSituation!$Q$9:$Q$153,0))*$X136)</f>
        <v>#VALUE!</v>
      </c>
      <c r="AC136" s="392" t="e">
        <f>IF(AC$75&lt;=CNTR_YearMergerSplit,"",INDEX(B_InitialSituation!K$9:K$153,MATCH($Q136,B_InitialSituation!$Q$9:$Q$153,0))*$X136)</f>
        <v>#VALUE!</v>
      </c>
      <c r="AD136" s="392" t="e">
        <f>IF(AD$75&lt;=CNTR_YearMergerSplit,"",INDEX(B_InitialSituation!L$9:L$153,MATCH($Q136,B_InitialSituation!$Q$9:$Q$153,0))*$X136)</f>
        <v>#VALUE!</v>
      </c>
      <c r="AE136" s="392" t="e">
        <f>IF(AE$75&lt;=CNTR_YearMergerSplit,"",INDEX(B_InitialSituation!M$9:M$153,MATCH($Q136,B_InitialSituation!$Q$9:$Q$153,0))*$X136)</f>
        <v>#VALUE!</v>
      </c>
      <c r="AF136" s="392" t="e">
        <f>IF(AF$75&lt;=CNTR_YearMergerSplit,"",INDEX(B_InitialSituation!N$9:N$153,MATCH($Q136,B_InitialSituation!$Q$9:$Q$153,0))*$X136)</f>
        <v>#VALUE!</v>
      </c>
      <c r="AG136" s="384"/>
      <c r="AH136" s="391">
        <f>INDEX(CHOOSE($V136,C_MergerSplitTransfer!$H$9:$H$68,C_MergerSplitTransfer!$K$9:$K$68),MATCH(R136,C_MergerSplitTransfer!$T$9:$T$68,0))</f>
      </c>
      <c r="AI136" s="392" t="e">
        <f>IF(AI$75&lt;=CNTR_YearMergerSplit,"",INDEX(B_InitialSituation!G$9:G$153,MATCH($R136,B_InitialSituation!$Q$9:$Q$153,0))*$AH136)</f>
        <v>#VALUE!</v>
      </c>
      <c r="AJ136" s="392" t="e">
        <f>IF(AJ$75&lt;=CNTR_YearMergerSplit,"",INDEX(B_InitialSituation!H$9:H$153,MATCH($R136,B_InitialSituation!$Q$9:$Q$153,0))*$AH136)</f>
        <v>#VALUE!</v>
      </c>
      <c r="AK136" s="392" t="e">
        <f>IF(AK$75&lt;=CNTR_YearMergerSplit,"",INDEX(B_InitialSituation!I$9:I$153,MATCH($R136,B_InitialSituation!$Q$9:$Q$153,0))*$AH136)</f>
        <v>#VALUE!</v>
      </c>
      <c r="AL136" s="392" t="e">
        <f>IF(AL$75&lt;=CNTR_YearMergerSplit,"",INDEX(B_InitialSituation!J$9:J$153,MATCH($R136,B_InitialSituation!$Q$9:$Q$153,0))*$AH136)</f>
        <v>#VALUE!</v>
      </c>
      <c r="AM136" s="392" t="e">
        <f>IF(AM$75&lt;=CNTR_YearMergerSplit,"",INDEX(B_InitialSituation!K$9:K$153,MATCH($R136,B_InitialSituation!$Q$9:$Q$153,0))*$AH136)</f>
        <v>#VALUE!</v>
      </c>
      <c r="AN136" s="392" t="e">
        <f>IF(AN$75&lt;=CNTR_YearMergerSplit,"",INDEX(B_InitialSituation!L$9:L$153,MATCH($R136,B_InitialSituation!$Q$9:$Q$153,0))*$AH136)</f>
        <v>#VALUE!</v>
      </c>
      <c r="AO136" s="392" t="e">
        <f>IF(AO$75&lt;=CNTR_YearMergerSplit,"",INDEX(B_InitialSituation!M$9:M$153,MATCH($R136,B_InitialSituation!$Q$9:$Q$153,0))*$AH136)</f>
        <v>#VALUE!</v>
      </c>
      <c r="AP136" s="392" t="e">
        <f>IF(AP$75&lt;=CNTR_YearMergerSplit,"",INDEX(B_InitialSituation!N$9:N$153,MATCH($R136,B_InitialSituation!$Q$9:$Q$153,0))*$AH136)</f>
        <v>#VALUE!</v>
      </c>
      <c r="AQ136" s="384"/>
    </row>
    <row r="137" spans="1:43" s="483" customFormat="1" ht="24.75" customHeight="1">
      <c r="A137" s="4"/>
      <c r="B137" s="5"/>
      <c r="C137" s="515">
        <v>15</v>
      </c>
      <c r="D137" s="985" t="str">
        <f t="shared" si="47"/>
        <v>Подинсталация с технологични емисии, с риск от изтичане на въглерод</v>
      </c>
      <c r="E137" s="986"/>
      <c r="F137" s="987"/>
      <c r="G137" s="517">
        <f t="shared" si="44"/>
      </c>
      <c r="H137" s="517">
        <f t="shared" si="35"/>
      </c>
      <c r="I137" s="517">
        <f t="shared" si="36"/>
      </c>
      <c r="J137" s="517">
        <f t="shared" si="37"/>
      </c>
      <c r="K137" s="517">
        <f t="shared" si="38"/>
      </c>
      <c r="L137" s="517">
        <f t="shared" si="39"/>
      </c>
      <c r="M137" s="517">
        <f t="shared" si="40"/>
      </c>
      <c r="N137" s="517">
        <f t="shared" si="41"/>
      </c>
      <c r="O137" s="288"/>
      <c r="P137" s="9"/>
      <c r="Q137" s="412" t="str">
        <f t="shared" si="42"/>
        <v>FInitial_1_Подинсталация с технологични емисии, с риск от изтичане на въглерод</v>
      </c>
      <c r="R137" s="412" t="str">
        <f t="shared" si="43"/>
        <v>FInitial_2_Подинсталация с технологични емисии, с риск от изтичане на въглерод</v>
      </c>
      <c r="S137" s="384"/>
      <c r="T137" s="384"/>
      <c r="U137" s="384"/>
      <c r="V137" s="414">
        <f t="shared" si="45"/>
        <v>2</v>
      </c>
      <c r="W137" s="384"/>
      <c r="X137" s="391">
        <f>INDEX(CHOOSE($V137,C_MergerSplitTransfer!$H$9:$H$68,C_MergerSplitTransfer!$K$9:$K$68),MATCH(Q137,C_MergerSplitTransfer!$T$9:$T$68,0))</f>
      </c>
      <c r="Y137" s="392" t="e">
        <f>IF(Y$75&lt;=CNTR_YearMergerSplit,"",INDEX(B_InitialSituation!G$9:G$153,MATCH($Q137,B_InitialSituation!$Q$9:$Q$153,0))*$X137)</f>
        <v>#VALUE!</v>
      </c>
      <c r="Z137" s="392" t="e">
        <f>IF(Z$75&lt;=CNTR_YearMergerSplit,"",INDEX(B_InitialSituation!H$9:H$153,MATCH($Q137,B_InitialSituation!$Q$9:$Q$153,0))*$X137)</f>
        <v>#VALUE!</v>
      </c>
      <c r="AA137" s="392" t="e">
        <f>IF(AA$75&lt;=CNTR_YearMergerSplit,"",INDEX(B_InitialSituation!I$9:I$153,MATCH($Q137,B_InitialSituation!$Q$9:$Q$153,0))*$X137)</f>
        <v>#VALUE!</v>
      </c>
      <c r="AB137" s="392" t="e">
        <f>IF(AB$75&lt;=CNTR_YearMergerSplit,"",INDEX(B_InitialSituation!J$9:J$153,MATCH($Q137,B_InitialSituation!$Q$9:$Q$153,0))*$X137)</f>
        <v>#VALUE!</v>
      </c>
      <c r="AC137" s="392" t="e">
        <f>IF(AC$75&lt;=CNTR_YearMergerSplit,"",INDEX(B_InitialSituation!K$9:K$153,MATCH($Q137,B_InitialSituation!$Q$9:$Q$153,0))*$X137)</f>
        <v>#VALUE!</v>
      </c>
      <c r="AD137" s="392" t="e">
        <f>IF(AD$75&lt;=CNTR_YearMergerSplit,"",INDEX(B_InitialSituation!L$9:L$153,MATCH($Q137,B_InitialSituation!$Q$9:$Q$153,0))*$X137)</f>
        <v>#VALUE!</v>
      </c>
      <c r="AE137" s="392" t="e">
        <f>IF(AE$75&lt;=CNTR_YearMergerSplit,"",INDEX(B_InitialSituation!M$9:M$153,MATCH($Q137,B_InitialSituation!$Q$9:$Q$153,0))*$X137)</f>
        <v>#VALUE!</v>
      </c>
      <c r="AF137" s="392" t="e">
        <f>IF(AF$75&lt;=CNTR_YearMergerSplit,"",INDEX(B_InitialSituation!N$9:N$153,MATCH($Q137,B_InitialSituation!$Q$9:$Q$153,0))*$X137)</f>
        <v>#VALUE!</v>
      </c>
      <c r="AG137" s="384"/>
      <c r="AH137" s="391">
        <f>INDEX(CHOOSE($V137,C_MergerSplitTransfer!$H$9:$H$68,C_MergerSplitTransfer!$K$9:$K$68),MATCH(R137,C_MergerSplitTransfer!$T$9:$T$68,0))</f>
      </c>
      <c r="AI137" s="392" t="e">
        <f>IF(AI$75&lt;=CNTR_YearMergerSplit,"",INDEX(B_InitialSituation!G$9:G$153,MATCH($R137,B_InitialSituation!$Q$9:$Q$153,0))*$AH137)</f>
        <v>#VALUE!</v>
      </c>
      <c r="AJ137" s="392" t="e">
        <f>IF(AJ$75&lt;=CNTR_YearMergerSplit,"",INDEX(B_InitialSituation!H$9:H$153,MATCH($R137,B_InitialSituation!$Q$9:$Q$153,0))*$AH137)</f>
        <v>#VALUE!</v>
      </c>
      <c r="AK137" s="392" t="e">
        <f>IF(AK$75&lt;=CNTR_YearMergerSplit,"",INDEX(B_InitialSituation!I$9:I$153,MATCH($R137,B_InitialSituation!$Q$9:$Q$153,0))*$AH137)</f>
        <v>#VALUE!</v>
      </c>
      <c r="AL137" s="392" t="e">
        <f>IF(AL$75&lt;=CNTR_YearMergerSplit,"",INDEX(B_InitialSituation!J$9:J$153,MATCH($R137,B_InitialSituation!$Q$9:$Q$153,0))*$AH137)</f>
        <v>#VALUE!</v>
      </c>
      <c r="AM137" s="392" t="e">
        <f>IF(AM$75&lt;=CNTR_YearMergerSplit,"",INDEX(B_InitialSituation!K$9:K$153,MATCH($R137,B_InitialSituation!$Q$9:$Q$153,0))*$AH137)</f>
        <v>#VALUE!</v>
      </c>
      <c r="AN137" s="392" t="e">
        <f>IF(AN$75&lt;=CNTR_YearMergerSplit,"",INDEX(B_InitialSituation!L$9:L$153,MATCH($R137,B_InitialSituation!$Q$9:$Q$153,0))*$AH137)</f>
        <v>#VALUE!</v>
      </c>
      <c r="AO137" s="392" t="e">
        <f>IF(AO$75&lt;=CNTR_YearMergerSplit,"",INDEX(B_InitialSituation!M$9:M$153,MATCH($R137,B_InitialSituation!$Q$9:$Q$153,0))*$AH137)</f>
        <v>#VALUE!</v>
      </c>
      <c r="AP137" s="392" t="e">
        <f>IF(AP$75&lt;=CNTR_YearMergerSplit,"",INDEX(B_InitialSituation!N$9:N$153,MATCH($R137,B_InitialSituation!$Q$9:$Q$153,0))*$AH137)</f>
        <v>#VALUE!</v>
      </c>
      <c r="AQ137" s="384"/>
    </row>
    <row r="138" spans="1:43" s="483" customFormat="1" ht="24.75" customHeight="1">
      <c r="A138" s="4"/>
      <c r="B138" s="5"/>
      <c r="C138" s="515">
        <v>16</v>
      </c>
      <c r="D138" s="988" t="str">
        <f t="shared" si="47"/>
        <v>Подинсталация с технологични емисии, без риск от изтичане на въглерод</v>
      </c>
      <c r="E138" s="989"/>
      <c r="F138" s="990"/>
      <c r="G138" s="520">
        <f t="shared" si="44"/>
      </c>
      <c r="H138" s="520">
        <f t="shared" si="35"/>
      </c>
      <c r="I138" s="520">
        <f t="shared" si="36"/>
      </c>
      <c r="J138" s="520">
        <f t="shared" si="37"/>
      </c>
      <c r="K138" s="520">
        <f t="shared" si="38"/>
      </c>
      <c r="L138" s="520">
        <f t="shared" si="39"/>
      </c>
      <c r="M138" s="520">
        <f t="shared" si="40"/>
      </c>
      <c r="N138" s="520">
        <f t="shared" si="41"/>
      </c>
      <c r="O138" s="288"/>
      <c r="P138" s="9"/>
      <c r="Q138" s="412" t="str">
        <f t="shared" si="42"/>
        <v>FInitial_1_Подинсталация с технологични емисии, без риск от изтичане на въглерод</v>
      </c>
      <c r="R138" s="412" t="str">
        <f t="shared" si="43"/>
        <v>FInitial_2_Подинсталация с технологични емисии, без риск от изтичане на въглерод</v>
      </c>
      <c r="S138" s="384"/>
      <c r="T138" s="384"/>
      <c r="U138" s="384"/>
      <c r="V138" s="414">
        <f t="shared" si="45"/>
        <v>2</v>
      </c>
      <c r="W138" s="384"/>
      <c r="X138" s="395">
        <f>INDEX(CHOOSE($V138,C_MergerSplitTransfer!$H$9:$H$68,C_MergerSplitTransfer!$K$9:$K$68),MATCH(Q138,C_MergerSplitTransfer!$T$9:$T$68,0))</f>
      </c>
      <c r="Y138" s="396" t="e">
        <f>IF(Y$75&lt;=CNTR_YearMergerSplit,"",INDEX(B_InitialSituation!G$9:G$153,MATCH($Q138,B_InitialSituation!$Q$9:$Q$153,0))*$X138)</f>
        <v>#VALUE!</v>
      </c>
      <c r="Z138" s="396" t="e">
        <f>IF(Z$75&lt;=CNTR_YearMergerSplit,"",INDEX(B_InitialSituation!H$9:H$153,MATCH($Q138,B_InitialSituation!$Q$9:$Q$153,0))*$X138)</f>
        <v>#VALUE!</v>
      </c>
      <c r="AA138" s="396" t="e">
        <f>IF(AA$75&lt;=CNTR_YearMergerSplit,"",INDEX(B_InitialSituation!I$9:I$153,MATCH($Q138,B_InitialSituation!$Q$9:$Q$153,0))*$X138)</f>
        <v>#VALUE!</v>
      </c>
      <c r="AB138" s="396" t="e">
        <f>IF(AB$75&lt;=CNTR_YearMergerSplit,"",INDEX(B_InitialSituation!J$9:J$153,MATCH($Q138,B_InitialSituation!$Q$9:$Q$153,0))*$X138)</f>
        <v>#VALUE!</v>
      </c>
      <c r="AC138" s="396" t="e">
        <f>IF(AC$75&lt;=CNTR_YearMergerSplit,"",INDEX(B_InitialSituation!K$9:K$153,MATCH($Q138,B_InitialSituation!$Q$9:$Q$153,0))*$X138)</f>
        <v>#VALUE!</v>
      </c>
      <c r="AD138" s="396" t="e">
        <f>IF(AD$75&lt;=CNTR_YearMergerSplit,"",INDEX(B_InitialSituation!L$9:L$153,MATCH($Q138,B_InitialSituation!$Q$9:$Q$153,0))*$X138)</f>
        <v>#VALUE!</v>
      </c>
      <c r="AE138" s="396" t="e">
        <f>IF(AE$75&lt;=CNTR_YearMergerSplit,"",INDEX(B_InitialSituation!M$9:M$153,MATCH($Q138,B_InitialSituation!$Q$9:$Q$153,0))*$X138)</f>
        <v>#VALUE!</v>
      </c>
      <c r="AF138" s="396" t="e">
        <f>IF(AF$75&lt;=CNTR_YearMergerSplit,"",INDEX(B_InitialSituation!N$9:N$153,MATCH($Q138,B_InitialSituation!$Q$9:$Q$153,0))*$X138)</f>
        <v>#VALUE!</v>
      </c>
      <c r="AG138" s="384"/>
      <c r="AH138" s="395">
        <f>INDEX(CHOOSE($V138,C_MergerSplitTransfer!$H$9:$H$68,C_MergerSplitTransfer!$K$9:$K$68),MATCH(R138,C_MergerSplitTransfer!$T$9:$T$68,0))</f>
      </c>
      <c r="AI138" s="396" t="e">
        <f>IF(AI$75&lt;=CNTR_YearMergerSplit,"",INDEX(B_InitialSituation!G$9:G$153,MATCH($R138,B_InitialSituation!$Q$9:$Q$153,0))*$AH138)</f>
        <v>#VALUE!</v>
      </c>
      <c r="AJ138" s="396" t="e">
        <f>IF(AJ$75&lt;=CNTR_YearMergerSplit,"",INDEX(B_InitialSituation!H$9:H$153,MATCH($R138,B_InitialSituation!$Q$9:$Q$153,0))*$AH138)</f>
        <v>#VALUE!</v>
      </c>
      <c r="AK138" s="396" t="e">
        <f>IF(AK$75&lt;=CNTR_YearMergerSplit,"",INDEX(B_InitialSituation!I$9:I$153,MATCH($R138,B_InitialSituation!$Q$9:$Q$153,0))*$AH138)</f>
        <v>#VALUE!</v>
      </c>
      <c r="AL138" s="396" t="e">
        <f>IF(AL$75&lt;=CNTR_YearMergerSplit,"",INDEX(B_InitialSituation!J$9:J$153,MATCH($R138,B_InitialSituation!$Q$9:$Q$153,0))*$AH138)</f>
        <v>#VALUE!</v>
      </c>
      <c r="AM138" s="396" t="e">
        <f>IF(AM$75&lt;=CNTR_YearMergerSplit,"",INDEX(B_InitialSituation!K$9:K$153,MATCH($R138,B_InitialSituation!$Q$9:$Q$153,0))*$AH138)</f>
        <v>#VALUE!</v>
      </c>
      <c r="AN138" s="396" t="e">
        <f>IF(AN$75&lt;=CNTR_YearMergerSplit,"",INDEX(B_InitialSituation!L$9:L$153,MATCH($R138,B_InitialSituation!$Q$9:$Q$153,0))*$AH138)</f>
        <v>#VALUE!</v>
      </c>
      <c r="AO138" s="396" t="e">
        <f>IF(AO$75&lt;=CNTR_YearMergerSplit,"",INDEX(B_InitialSituation!M$9:M$153,MATCH($R138,B_InitialSituation!$Q$9:$Q$153,0))*$AH138)</f>
        <v>#VALUE!</v>
      </c>
      <c r="AP138" s="396" t="e">
        <f>IF(AP$75&lt;=CNTR_YearMergerSplit,"",INDEX(B_InitialSituation!N$9:N$153,MATCH($R138,B_InitialSituation!$Q$9:$Q$153,0))*$AH138)</f>
        <v>#VALUE!</v>
      </c>
      <c r="AQ138" s="384"/>
    </row>
    <row r="139" spans="1:43" s="483" customFormat="1" ht="12.75" customHeight="1" thickBot="1">
      <c r="A139" s="4"/>
      <c r="B139" s="5"/>
      <c r="C139" s="521">
        <v>17</v>
      </c>
      <c r="D139" s="970" t="str">
        <f>EUconst_PrivateHouseholds</f>
        <v>За частни жилища</v>
      </c>
      <c r="E139" s="971"/>
      <c r="F139" s="972"/>
      <c r="G139" s="522">
        <f t="shared" si="44"/>
      </c>
      <c r="H139" s="522">
        <f t="shared" si="35"/>
      </c>
      <c r="I139" s="522">
        <f t="shared" si="36"/>
      </c>
      <c r="J139" s="522">
        <f t="shared" si="37"/>
      </c>
      <c r="K139" s="522">
        <f t="shared" si="38"/>
      </c>
      <c r="L139" s="522">
        <f t="shared" si="39"/>
      </c>
      <c r="M139" s="522">
        <f t="shared" si="40"/>
      </c>
      <c r="N139" s="522">
        <f t="shared" si="41"/>
      </c>
      <c r="O139" s="288"/>
      <c r="P139" s="9"/>
      <c r="Q139" s="412" t="str">
        <f t="shared" si="42"/>
        <v>FInitial_1_За частни жилища</v>
      </c>
      <c r="R139" s="412" t="str">
        <f t="shared" si="43"/>
        <v>FInitial_2_За частни жилища</v>
      </c>
      <c r="S139" s="384"/>
      <c r="T139" s="384"/>
      <c r="U139" s="384"/>
      <c r="V139" s="415">
        <f t="shared" si="45"/>
        <v>2</v>
      </c>
      <c r="W139" s="384"/>
      <c r="X139" s="397">
        <f>INDEX(CHOOSE($V139,C_MergerSplitTransfer!$H$9:$H$68,C_MergerSplitTransfer!$K$9:$K$68),MATCH(Q139,C_MergerSplitTransfer!$T$9:$T$68,0))</f>
      </c>
      <c r="Y139" s="398" t="e">
        <f>IF(Y$75&lt;=CNTR_YearMergerSplit,"",INDEX(B_InitialSituation!G$9:G$153,MATCH($Q139,B_InitialSituation!$Q$9:$Q$153,0))*$X139)</f>
        <v>#VALUE!</v>
      </c>
      <c r="Z139" s="398" t="e">
        <f>IF(Z$75&lt;=CNTR_YearMergerSplit,"",INDEX(B_InitialSituation!H$9:H$153,MATCH($Q139,B_InitialSituation!$Q$9:$Q$153,0))*$X139)</f>
        <v>#VALUE!</v>
      </c>
      <c r="AA139" s="398" t="e">
        <f>IF(AA$75&lt;=CNTR_YearMergerSplit,"",INDEX(B_InitialSituation!I$9:I$153,MATCH($Q139,B_InitialSituation!$Q$9:$Q$153,0))*$X139)</f>
        <v>#VALUE!</v>
      </c>
      <c r="AB139" s="398" t="e">
        <f>IF(AB$75&lt;=CNTR_YearMergerSplit,"",INDEX(B_InitialSituation!J$9:J$153,MATCH($Q139,B_InitialSituation!$Q$9:$Q$153,0))*$X139)</f>
        <v>#VALUE!</v>
      </c>
      <c r="AC139" s="398" t="e">
        <f>IF(AC$75&lt;=CNTR_YearMergerSplit,"",INDEX(B_InitialSituation!K$9:K$153,MATCH($Q139,B_InitialSituation!$Q$9:$Q$153,0))*$X139)</f>
        <v>#VALUE!</v>
      </c>
      <c r="AD139" s="398" t="e">
        <f>IF(AD$75&lt;=CNTR_YearMergerSplit,"",INDEX(B_InitialSituation!L$9:L$153,MATCH($Q139,B_InitialSituation!$Q$9:$Q$153,0))*$X139)</f>
        <v>#VALUE!</v>
      </c>
      <c r="AE139" s="398" t="e">
        <f>IF(AE$75&lt;=CNTR_YearMergerSplit,"",INDEX(B_InitialSituation!M$9:M$153,MATCH($Q139,B_InitialSituation!$Q$9:$Q$153,0))*$X139)</f>
        <v>#VALUE!</v>
      </c>
      <c r="AF139" s="398" t="e">
        <f>IF(AF$75&lt;=CNTR_YearMergerSplit,"",INDEX(B_InitialSituation!N$9:N$153,MATCH($Q139,B_InitialSituation!$Q$9:$Q$153,0))*$X139)</f>
        <v>#VALUE!</v>
      </c>
      <c r="AG139" s="384"/>
      <c r="AH139" s="397">
        <f>INDEX(CHOOSE($V139,C_MergerSplitTransfer!$H$9:$H$68,C_MergerSplitTransfer!$K$9:$K$68),MATCH(R139,C_MergerSplitTransfer!$T$9:$T$68,0))</f>
      </c>
      <c r="AI139" s="398" t="e">
        <f>IF(AI$75&lt;=CNTR_YearMergerSplit,"",INDEX(B_InitialSituation!G$9:G$153,MATCH($R139,B_InitialSituation!$Q$9:$Q$153,0))*$AH139)</f>
        <v>#VALUE!</v>
      </c>
      <c r="AJ139" s="398" t="e">
        <f>IF(AJ$75&lt;=CNTR_YearMergerSplit,"",INDEX(B_InitialSituation!H$9:H$153,MATCH($R139,B_InitialSituation!$Q$9:$Q$153,0))*$AH139)</f>
        <v>#VALUE!</v>
      </c>
      <c r="AK139" s="398" t="e">
        <f>IF(AK$75&lt;=CNTR_YearMergerSplit,"",INDEX(B_InitialSituation!I$9:I$153,MATCH($R139,B_InitialSituation!$Q$9:$Q$153,0))*$AH139)</f>
        <v>#VALUE!</v>
      </c>
      <c r="AL139" s="398" t="e">
        <f>IF(AL$75&lt;=CNTR_YearMergerSplit,"",INDEX(B_InitialSituation!J$9:J$153,MATCH($R139,B_InitialSituation!$Q$9:$Q$153,0))*$AH139)</f>
        <v>#VALUE!</v>
      </c>
      <c r="AM139" s="398" t="e">
        <f>IF(AM$75&lt;=CNTR_YearMergerSplit,"",INDEX(B_InitialSituation!K$9:K$153,MATCH($R139,B_InitialSituation!$Q$9:$Q$153,0))*$AH139)</f>
        <v>#VALUE!</v>
      </c>
      <c r="AN139" s="398" t="e">
        <f>IF(AN$75&lt;=CNTR_YearMergerSplit,"",INDEX(B_InitialSituation!L$9:L$153,MATCH($R139,B_InitialSituation!$Q$9:$Q$153,0))*$AH139)</f>
        <v>#VALUE!</v>
      </c>
      <c r="AO139" s="398" t="e">
        <f>IF(AO$75&lt;=CNTR_YearMergerSplit,"",INDEX(B_InitialSituation!M$9:M$153,MATCH($R139,B_InitialSituation!$Q$9:$Q$153,0))*$AH139)</f>
        <v>#VALUE!</v>
      </c>
      <c r="AP139" s="398" t="e">
        <f>IF(AP$75&lt;=CNTR_YearMergerSplit,"",INDEX(B_InitialSituation!N$9:N$153,MATCH($R139,B_InitialSituation!$Q$9:$Q$153,0))*$AH139)</f>
        <v>#VALUE!</v>
      </c>
      <c r="AQ139" s="384"/>
    </row>
    <row r="140" spans="1:43" s="483" customFormat="1" ht="27.75" customHeight="1">
      <c r="A140" s="4"/>
      <c r="B140" s="5"/>
      <c r="C140" s="523"/>
      <c r="D140" s="991" t="str">
        <f>EUconst_TotFreeAlloc</f>
        <v>Окончателно общо безплатно отпуснато количество квоти</v>
      </c>
      <c r="E140" s="992"/>
      <c r="F140" s="993"/>
      <c r="G140" s="524">
        <f aca="true" t="shared" si="48" ref="G140:N140">IF(COUNT(G122:G139)&gt;0,SUM(G122:G139),"")</f>
      </c>
      <c r="H140" s="524">
        <f t="shared" si="48"/>
      </c>
      <c r="I140" s="524">
        <f t="shared" si="48"/>
      </c>
      <c r="J140" s="524">
        <f t="shared" si="48"/>
      </c>
      <c r="K140" s="524">
        <f t="shared" si="48"/>
      </c>
      <c r="L140" s="524">
        <f t="shared" si="48"/>
      </c>
      <c r="M140" s="524">
        <f t="shared" si="48"/>
      </c>
      <c r="N140" s="524">
        <f t="shared" si="48"/>
      </c>
      <c r="O140" s="288"/>
      <c r="P140" s="9"/>
      <c r="Q140" s="402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</row>
    <row r="141" spans="1:43" s="483" customFormat="1" ht="12.75" customHeight="1">
      <c r="A141" s="4"/>
      <c r="B141" s="5"/>
      <c r="C141" s="525"/>
      <c r="D141" s="510"/>
      <c r="E141" s="510"/>
      <c r="F141" s="510"/>
      <c r="G141" s="510"/>
      <c r="H141" s="510"/>
      <c r="I141" s="510"/>
      <c r="J141" s="510"/>
      <c r="K141" s="510"/>
      <c r="L141" s="510"/>
      <c r="M141" s="510"/>
      <c r="N141" s="510"/>
      <c r="O141" s="280"/>
      <c r="P141" s="9"/>
      <c r="Q141" s="402"/>
      <c r="R141" s="384"/>
      <c r="S141" s="384"/>
      <c r="T141" s="384"/>
      <c r="U141" s="384"/>
      <c r="V141" s="402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4"/>
      <c r="AN141" s="384"/>
      <c r="AO141" s="384"/>
      <c r="AP141" s="384"/>
      <c r="AQ141" s="384"/>
    </row>
    <row r="142" spans="1:43" s="483" customFormat="1" ht="15" customHeight="1">
      <c r="A142" s="4"/>
      <c r="B142" s="18"/>
      <c r="C142" s="509"/>
      <c r="D142" s="994" t="str">
        <f>Translations!$B$613</f>
        <v>Нов първоначален инсталиран капацитет (мощност) и ново годишно равнище на активност:</v>
      </c>
      <c r="E142" s="995"/>
      <c r="F142" s="995"/>
      <c r="G142" s="995"/>
      <c r="H142" s="995"/>
      <c r="I142" s="995"/>
      <c r="J142" s="995"/>
      <c r="K142" s="995"/>
      <c r="L142" s="995"/>
      <c r="M142" s="995"/>
      <c r="N142" s="995"/>
      <c r="O142" s="18"/>
      <c r="P142" s="18"/>
      <c r="Q142" s="401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</row>
    <row r="143" spans="1:43" s="483" customFormat="1" ht="4.5" customHeight="1">
      <c r="A143" s="4"/>
      <c r="B143" s="5"/>
      <c r="C143" s="510"/>
      <c r="D143" s="510"/>
      <c r="E143" s="510"/>
      <c r="F143" s="510"/>
      <c r="G143" s="510"/>
      <c r="H143" s="510"/>
      <c r="I143" s="510"/>
      <c r="J143" s="510"/>
      <c r="K143" s="510"/>
      <c r="L143" s="510"/>
      <c r="M143" s="510"/>
      <c r="N143" s="510"/>
      <c r="O143" s="9"/>
      <c r="P143" s="9"/>
      <c r="Q143" s="402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  <c r="AL143" s="384"/>
      <c r="AM143" s="384"/>
      <c r="AN143" s="384"/>
      <c r="AO143" s="384"/>
      <c r="AP143" s="384"/>
      <c r="AQ143" s="384"/>
    </row>
    <row r="144" spans="1:43" s="487" customFormat="1" ht="49.5" customHeight="1" thickBot="1">
      <c r="A144" s="357"/>
      <c r="B144" s="337"/>
      <c r="C144" s="526"/>
      <c r="D144" s="996" t="str">
        <f>Translations!$B$402</f>
        <v>Подинсталация</v>
      </c>
      <c r="E144" s="997"/>
      <c r="F144" s="997"/>
      <c r="G144" s="998"/>
      <c r="H144" s="527" t="str">
        <f>EUconst_Unit</f>
        <v>Единица мярка</v>
      </c>
      <c r="I144" s="527" t="str">
        <f>Translations!$B$471</f>
        <v>Първоначален инсталиран капацитет</v>
      </c>
      <c r="J144" s="528" t="str">
        <f>Translations!$B$481</f>
        <v>Първоначално годишно ниво на активност </v>
      </c>
      <c r="K144" s="510"/>
      <c r="L144" s="529"/>
      <c r="M144" s="529"/>
      <c r="N144" s="529"/>
      <c r="O144" s="360"/>
      <c r="P144" s="361"/>
      <c r="Q144" s="416"/>
      <c r="R144" s="416"/>
      <c r="S144" s="416"/>
      <c r="T144" s="416"/>
      <c r="U144" s="416"/>
      <c r="V144" s="410" t="s">
        <v>532</v>
      </c>
      <c r="W144" s="416"/>
      <c r="X144" s="399" t="str">
        <f>Translations!$B$471</f>
        <v>Първоначален инсталиран капацитет</v>
      </c>
      <c r="Y144" s="400" t="str">
        <f>Translations!$B$481</f>
        <v>Първоначално годишно ниво на активност </v>
      </c>
      <c r="Z144" s="384"/>
      <c r="AA144" s="119" t="s">
        <v>524</v>
      </c>
      <c r="AB144" s="119" t="s">
        <v>521</v>
      </c>
      <c r="AC144" s="10" t="s">
        <v>525</v>
      </c>
      <c r="AD144" s="402" t="s">
        <v>555</v>
      </c>
      <c r="AE144" s="402" t="str">
        <f>EUconst_Unit</f>
        <v>Единица мярка</v>
      </c>
      <c r="AF144" s="402" t="str">
        <f>EUconst_Unit</f>
        <v>Единица мярка</v>
      </c>
      <c r="AG144" s="417"/>
      <c r="AH144" s="420" t="str">
        <f>Translations!$B$471</f>
        <v>Първоначален инсталиран капацитет</v>
      </c>
      <c r="AI144" s="400" t="str">
        <f>Translations!$B$481</f>
        <v>Първоначално годишно ниво на активност </v>
      </c>
      <c r="AJ144" s="417"/>
      <c r="AK144" s="417"/>
      <c r="AL144" s="417"/>
      <c r="AM144" s="417"/>
      <c r="AN144" s="417"/>
      <c r="AO144" s="417"/>
      <c r="AP144" s="417"/>
      <c r="AQ144" s="417"/>
    </row>
    <row r="145" spans="1:43" s="483" customFormat="1" ht="12.75" customHeight="1">
      <c r="A145" s="4"/>
      <c r="B145" s="5"/>
      <c r="C145" s="515">
        <v>1</v>
      </c>
      <c r="D145" s="999">
        <f aca="true" t="shared" si="49" ref="D145:D154">IF(D123="","",D123)</f>
      </c>
      <c r="E145" s="1000"/>
      <c r="F145" s="1000"/>
      <c r="G145" s="1001"/>
      <c r="H145" s="530">
        <f aca="true" t="shared" si="50" ref="H145:H154">IF(D145&lt;&gt;"",INDEX(EUconst_BMlistUnits,MATCH($D145,EUconst_BMlistNames,0))&amp;" / "&amp;EUconst_Year,"")</f>
      </c>
      <c r="I145" s="531">
        <f>IF(X145=0,"",ROUND(X145,0))</f>
      </c>
      <c r="J145" s="531">
        <f aca="true" t="shared" si="51" ref="J145:J160">IF(Y145=0,"",ROUND(Y145,0))</f>
      </c>
      <c r="K145" s="510"/>
      <c r="L145" s="529"/>
      <c r="M145" s="529"/>
      <c r="N145" s="529"/>
      <c r="O145" s="288"/>
      <c r="P145" s="442"/>
      <c r="Q145" s="412" t="str">
        <f aca="true" t="shared" si="52" ref="Q145:Q160">EUconst_CNTR_CAPINI&amp;$D145</f>
        <v>CAPINI_</v>
      </c>
      <c r="R145" s="416"/>
      <c r="S145" s="402"/>
      <c r="T145" s="402"/>
      <c r="U145" s="402"/>
      <c r="V145" s="413">
        <f>V139</f>
        <v>2</v>
      </c>
      <c r="W145" s="402"/>
      <c r="X145" s="421">
        <f>SUMIF(C_MergerSplitTransfer!$U$9:$U$68,$Q145,CHOOSE($V145,C_MergerSplitTransfer!I$9:I$68,C_MergerSplitTransfer!L$9:L$68))</f>
        <v>0</v>
      </c>
      <c r="Y145" s="421">
        <f>SUMIF(C_MergerSplitTransfer!$U$9:$U$68,$Q145,CHOOSE($V145,C_MergerSplitTransfer!J$9:J$68,C_MergerSplitTransfer!M$9:M$68))</f>
        <v>0</v>
      </c>
      <c r="Z145" s="384"/>
      <c r="AA145" s="412">
        <f aca="true" t="shared" si="53" ref="AA145:AA154">IF(D145="","",INDEX(EUconst_BMlistCLstatus,MATCH(D145,EUconst_BMlistNames,0)))</f>
      </c>
      <c r="AB145" s="412">
        <f aca="true" t="shared" si="54" ref="AB145:AB154">IF(D145="","",INDEX(EUconst_BMlistNumberOfBM,MATCH(D145,EUconst_BMlistNames,0)))</f>
      </c>
      <c r="AC145" s="412">
        <f aca="true" t="shared" si="55" ref="AC145:AC154">IF(D145="","",INDEX(EUconst_BMlistBMvalues,MATCH(D145,EUconst_BMlistNames,0)))</f>
      </c>
      <c r="AD145" s="412">
        <f aca="true" t="shared" si="56" ref="AD145:AD154">IF(D145="","",EUconst_EUA&amp;" / "&amp;AE145)</f>
      </c>
      <c r="AE145" s="412">
        <f aca="true" t="shared" si="57" ref="AE145:AE154">IF(D145="","",INDEX(EUconst_BMlistUnits,MATCH(D145,EUconst_BMlistNames,0)))</f>
      </c>
      <c r="AF145" s="412">
        <f aca="true" t="shared" si="58" ref="AF145:AF154">IF(D145="","",INDEX(EUconst_BMlistUnits,MATCH(D145,EUconst_BMlistNames,0))&amp;" / "&amp;EUconst_Year)</f>
      </c>
      <c r="AG145" s="384"/>
      <c r="AH145" s="384"/>
      <c r="AI145" s="384"/>
      <c r="AJ145" s="384"/>
      <c r="AK145" s="384"/>
      <c r="AL145" s="384"/>
      <c r="AM145" s="384"/>
      <c r="AN145" s="384"/>
      <c r="AO145" s="384"/>
      <c r="AP145" s="384"/>
      <c r="AQ145" s="384"/>
    </row>
    <row r="146" spans="1:43" s="483" customFormat="1" ht="12.75" customHeight="1">
      <c r="A146" s="4"/>
      <c r="B146" s="5"/>
      <c r="C146" s="515">
        <v>2</v>
      </c>
      <c r="D146" s="976">
        <f t="shared" si="49"/>
      </c>
      <c r="E146" s="977"/>
      <c r="F146" s="977"/>
      <c r="G146" s="978"/>
      <c r="H146" s="532">
        <f t="shared" si="50"/>
      </c>
      <c r="I146" s="533">
        <f aca="true" t="shared" si="59" ref="I146:I160">IF(X146=0,"",ROUND(X146,0))</f>
      </c>
      <c r="J146" s="533">
        <f t="shared" si="51"/>
      </c>
      <c r="K146" s="510"/>
      <c r="L146" s="529"/>
      <c r="M146" s="529"/>
      <c r="N146" s="529"/>
      <c r="O146" s="288"/>
      <c r="P146" s="286"/>
      <c r="Q146" s="412" t="str">
        <f t="shared" si="52"/>
        <v>CAPINI_</v>
      </c>
      <c r="R146" s="416"/>
      <c r="S146" s="402"/>
      <c r="T146" s="402"/>
      <c r="U146" s="402"/>
      <c r="V146" s="414">
        <f aca="true" t="shared" si="60" ref="V146:V160">V145</f>
        <v>2</v>
      </c>
      <c r="W146" s="402"/>
      <c r="X146" s="421">
        <f>SUMIF(C_MergerSplitTransfer!$U$9:$U$68,$Q146,CHOOSE($V146,C_MergerSplitTransfer!I$9:I$68,C_MergerSplitTransfer!L$9:L$68))</f>
        <v>0</v>
      </c>
      <c r="Y146" s="421">
        <f>SUMIF(C_MergerSplitTransfer!$U$9:$U$68,$Q146,CHOOSE($V146,C_MergerSplitTransfer!J$9:J$68,C_MergerSplitTransfer!M$9:M$68))</f>
        <v>0</v>
      </c>
      <c r="Z146" s="384"/>
      <c r="AA146" s="412">
        <f t="shared" si="53"/>
      </c>
      <c r="AB146" s="412">
        <f t="shared" si="54"/>
      </c>
      <c r="AC146" s="412">
        <f t="shared" si="55"/>
      </c>
      <c r="AD146" s="412">
        <f t="shared" si="56"/>
      </c>
      <c r="AE146" s="412">
        <f t="shared" si="57"/>
      </c>
      <c r="AF146" s="412">
        <f t="shared" si="58"/>
      </c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</row>
    <row r="147" spans="1:43" s="483" customFormat="1" ht="12.75" customHeight="1">
      <c r="A147" s="4"/>
      <c r="B147" s="5"/>
      <c r="C147" s="515">
        <v>3</v>
      </c>
      <c r="D147" s="976">
        <f t="shared" si="49"/>
      </c>
      <c r="E147" s="977"/>
      <c r="F147" s="977"/>
      <c r="G147" s="978"/>
      <c r="H147" s="532">
        <f t="shared" si="50"/>
      </c>
      <c r="I147" s="533">
        <f t="shared" si="59"/>
      </c>
      <c r="J147" s="533">
        <f t="shared" si="51"/>
      </c>
      <c r="K147" s="510"/>
      <c r="L147" s="529"/>
      <c r="M147" s="529"/>
      <c r="N147" s="529"/>
      <c r="O147" s="288"/>
      <c r="P147" s="286"/>
      <c r="Q147" s="412" t="str">
        <f t="shared" si="52"/>
        <v>CAPINI_</v>
      </c>
      <c r="R147" s="416"/>
      <c r="S147" s="402"/>
      <c r="T147" s="402"/>
      <c r="U147" s="402"/>
      <c r="V147" s="414">
        <f t="shared" si="60"/>
        <v>2</v>
      </c>
      <c r="W147" s="402"/>
      <c r="X147" s="421">
        <f>SUMIF(C_MergerSplitTransfer!$U$9:$U$68,$Q147,CHOOSE($V147,C_MergerSplitTransfer!I$9:I$68,C_MergerSplitTransfer!L$9:L$68))</f>
        <v>0</v>
      </c>
      <c r="Y147" s="421">
        <f>SUMIF(C_MergerSplitTransfer!$U$9:$U$68,$Q147,CHOOSE($V147,C_MergerSplitTransfer!J$9:J$68,C_MergerSplitTransfer!M$9:M$68))</f>
        <v>0</v>
      </c>
      <c r="Z147" s="384"/>
      <c r="AA147" s="412">
        <f t="shared" si="53"/>
      </c>
      <c r="AB147" s="412">
        <f t="shared" si="54"/>
      </c>
      <c r="AC147" s="412">
        <f t="shared" si="55"/>
      </c>
      <c r="AD147" s="412">
        <f t="shared" si="56"/>
      </c>
      <c r="AE147" s="412">
        <f t="shared" si="57"/>
      </c>
      <c r="AF147" s="412">
        <f t="shared" si="58"/>
      </c>
      <c r="AG147" s="384"/>
      <c r="AH147" s="384"/>
      <c r="AI147" s="384"/>
      <c r="AJ147" s="384"/>
      <c r="AK147" s="384"/>
      <c r="AL147" s="384"/>
      <c r="AM147" s="384"/>
      <c r="AN147" s="384"/>
      <c r="AO147" s="384"/>
      <c r="AP147" s="384"/>
      <c r="AQ147" s="384"/>
    </row>
    <row r="148" spans="1:43" s="483" customFormat="1" ht="12.75" customHeight="1">
      <c r="A148" s="4"/>
      <c r="B148" s="5"/>
      <c r="C148" s="515">
        <v>4</v>
      </c>
      <c r="D148" s="976">
        <f t="shared" si="49"/>
      </c>
      <c r="E148" s="977"/>
      <c r="F148" s="977"/>
      <c r="G148" s="978"/>
      <c r="H148" s="532">
        <f t="shared" si="50"/>
      </c>
      <c r="I148" s="533">
        <f t="shared" si="59"/>
      </c>
      <c r="J148" s="533">
        <f t="shared" si="51"/>
      </c>
      <c r="K148" s="510"/>
      <c r="L148" s="529"/>
      <c r="M148" s="529"/>
      <c r="N148" s="529"/>
      <c r="O148" s="288"/>
      <c r="P148" s="286"/>
      <c r="Q148" s="412" t="str">
        <f t="shared" si="52"/>
        <v>CAPINI_</v>
      </c>
      <c r="R148" s="416"/>
      <c r="S148" s="402"/>
      <c r="T148" s="402"/>
      <c r="U148" s="402"/>
      <c r="V148" s="414">
        <f t="shared" si="60"/>
        <v>2</v>
      </c>
      <c r="W148" s="402"/>
      <c r="X148" s="421">
        <f>SUMIF(C_MergerSplitTransfer!$U$9:$U$68,$Q148,CHOOSE($V148,C_MergerSplitTransfer!I$9:I$68,C_MergerSplitTransfer!L$9:L$68))</f>
        <v>0</v>
      </c>
      <c r="Y148" s="421">
        <f>SUMIF(C_MergerSplitTransfer!$U$9:$U$68,$Q148,CHOOSE($V148,C_MergerSplitTransfer!J$9:J$68,C_MergerSplitTransfer!M$9:M$68))</f>
        <v>0</v>
      </c>
      <c r="Z148" s="384"/>
      <c r="AA148" s="412">
        <f t="shared" si="53"/>
      </c>
      <c r="AB148" s="412">
        <f t="shared" si="54"/>
      </c>
      <c r="AC148" s="412">
        <f t="shared" si="55"/>
      </c>
      <c r="AD148" s="412">
        <f t="shared" si="56"/>
      </c>
      <c r="AE148" s="412">
        <f t="shared" si="57"/>
      </c>
      <c r="AF148" s="412">
        <f t="shared" si="58"/>
      </c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</row>
    <row r="149" spans="1:43" s="483" customFormat="1" ht="12.75" customHeight="1">
      <c r="A149" s="4"/>
      <c r="B149" s="5"/>
      <c r="C149" s="515">
        <v>5</v>
      </c>
      <c r="D149" s="976">
        <f t="shared" si="49"/>
      </c>
      <c r="E149" s="977"/>
      <c r="F149" s="977"/>
      <c r="G149" s="978"/>
      <c r="H149" s="532">
        <f t="shared" si="50"/>
      </c>
      <c r="I149" s="533">
        <f t="shared" si="59"/>
      </c>
      <c r="J149" s="533">
        <f t="shared" si="51"/>
      </c>
      <c r="K149" s="510"/>
      <c r="L149" s="529"/>
      <c r="M149" s="529"/>
      <c r="N149" s="529"/>
      <c r="O149" s="288"/>
      <c r="P149" s="286"/>
      <c r="Q149" s="412" t="str">
        <f t="shared" si="52"/>
        <v>CAPINI_</v>
      </c>
      <c r="R149" s="416"/>
      <c r="S149" s="402"/>
      <c r="T149" s="402"/>
      <c r="U149" s="402"/>
      <c r="V149" s="414">
        <f t="shared" si="60"/>
        <v>2</v>
      </c>
      <c r="W149" s="402"/>
      <c r="X149" s="421">
        <f>SUMIF(C_MergerSplitTransfer!$U$9:$U$68,$Q149,CHOOSE($V149,C_MergerSplitTransfer!I$9:I$68,C_MergerSplitTransfer!L$9:L$68))</f>
        <v>0</v>
      </c>
      <c r="Y149" s="421">
        <f>SUMIF(C_MergerSplitTransfer!$U$9:$U$68,$Q149,CHOOSE($V149,C_MergerSplitTransfer!J$9:J$68,C_MergerSplitTransfer!M$9:M$68))</f>
        <v>0</v>
      </c>
      <c r="Z149" s="384"/>
      <c r="AA149" s="412">
        <f t="shared" si="53"/>
      </c>
      <c r="AB149" s="412">
        <f t="shared" si="54"/>
      </c>
      <c r="AC149" s="412">
        <f t="shared" si="55"/>
      </c>
      <c r="AD149" s="412">
        <f t="shared" si="56"/>
      </c>
      <c r="AE149" s="412">
        <f t="shared" si="57"/>
      </c>
      <c r="AF149" s="412">
        <f t="shared" si="58"/>
      </c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</row>
    <row r="150" spans="1:43" s="483" customFormat="1" ht="12.75" customHeight="1">
      <c r="A150" s="4"/>
      <c r="B150" s="5"/>
      <c r="C150" s="515">
        <v>6</v>
      </c>
      <c r="D150" s="976">
        <f t="shared" si="49"/>
      </c>
      <c r="E150" s="977"/>
      <c r="F150" s="977"/>
      <c r="G150" s="978"/>
      <c r="H150" s="532">
        <f t="shared" si="50"/>
      </c>
      <c r="I150" s="533">
        <f t="shared" si="59"/>
      </c>
      <c r="J150" s="533">
        <f t="shared" si="51"/>
      </c>
      <c r="K150" s="510"/>
      <c r="L150" s="529"/>
      <c r="M150" s="529"/>
      <c r="N150" s="529"/>
      <c r="O150" s="288"/>
      <c r="P150" s="9"/>
      <c r="Q150" s="412" t="str">
        <f t="shared" si="52"/>
        <v>CAPINI_</v>
      </c>
      <c r="R150" s="416"/>
      <c r="S150" s="402"/>
      <c r="T150" s="402"/>
      <c r="U150" s="402"/>
      <c r="V150" s="414">
        <f t="shared" si="60"/>
        <v>2</v>
      </c>
      <c r="W150" s="402"/>
      <c r="X150" s="421">
        <f>SUMIF(C_MergerSplitTransfer!$U$9:$U$68,$Q150,CHOOSE($V150,C_MergerSplitTransfer!I$9:I$68,C_MergerSplitTransfer!L$9:L$68))</f>
        <v>0</v>
      </c>
      <c r="Y150" s="421">
        <f>SUMIF(C_MergerSplitTransfer!$U$9:$U$68,$Q150,CHOOSE($V150,C_MergerSplitTransfer!J$9:J$68,C_MergerSplitTransfer!M$9:M$68))</f>
        <v>0</v>
      </c>
      <c r="Z150" s="384"/>
      <c r="AA150" s="412">
        <f t="shared" si="53"/>
      </c>
      <c r="AB150" s="412">
        <f t="shared" si="54"/>
      </c>
      <c r="AC150" s="412">
        <f t="shared" si="55"/>
      </c>
      <c r="AD150" s="412">
        <f t="shared" si="56"/>
      </c>
      <c r="AE150" s="412">
        <f t="shared" si="57"/>
      </c>
      <c r="AF150" s="412">
        <f t="shared" si="58"/>
      </c>
      <c r="AG150" s="384"/>
      <c r="AH150" s="384"/>
      <c r="AI150" s="384"/>
      <c r="AJ150" s="384"/>
      <c r="AK150" s="384"/>
      <c r="AL150" s="384"/>
      <c r="AM150" s="384"/>
      <c r="AN150" s="384"/>
      <c r="AO150" s="384"/>
      <c r="AP150" s="384"/>
      <c r="AQ150" s="384"/>
    </row>
    <row r="151" spans="1:43" s="483" customFormat="1" ht="12.75" customHeight="1">
      <c r="A151" s="4"/>
      <c r="B151" s="5"/>
      <c r="C151" s="515">
        <v>7</v>
      </c>
      <c r="D151" s="976">
        <f t="shared" si="49"/>
      </c>
      <c r="E151" s="977"/>
      <c r="F151" s="977"/>
      <c r="G151" s="978"/>
      <c r="H151" s="532">
        <f t="shared" si="50"/>
      </c>
      <c r="I151" s="533">
        <f t="shared" si="59"/>
      </c>
      <c r="J151" s="533">
        <f t="shared" si="51"/>
      </c>
      <c r="K151" s="510"/>
      <c r="L151" s="529"/>
      <c r="M151" s="529"/>
      <c r="N151" s="529"/>
      <c r="O151" s="288"/>
      <c r="P151" s="9"/>
      <c r="Q151" s="412" t="str">
        <f t="shared" si="52"/>
        <v>CAPINI_</v>
      </c>
      <c r="R151" s="416"/>
      <c r="S151" s="402"/>
      <c r="T151" s="402"/>
      <c r="U151" s="402"/>
      <c r="V151" s="414">
        <f t="shared" si="60"/>
        <v>2</v>
      </c>
      <c r="W151" s="402"/>
      <c r="X151" s="421">
        <f>SUMIF(C_MergerSplitTransfer!$U$9:$U$68,$Q151,CHOOSE($V151,C_MergerSplitTransfer!I$9:I$68,C_MergerSplitTransfer!L$9:L$68))</f>
        <v>0</v>
      </c>
      <c r="Y151" s="421">
        <f>SUMIF(C_MergerSplitTransfer!$U$9:$U$68,$Q151,CHOOSE($V151,C_MergerSplitTransfer!J$9:J$68,C_MergerSplitTransfer!M$9:M$68))</f>
        <v>0</v>
      </c>
      <c r="Z151" s="384"/>
      <c r="AA151" s="412">
        <f t="shared" si="53"/>
      </c>
      <c r="AB151" s="412">
        <f t="shared" si="54"/>
      </c>
      <c r="AC151" s="412">
        <f t="shared" si="55"/>
      </c>
      <c r="AD151" s="412">
        <f t="shared" si="56"/>
      </c>
      <c r="AE151" s="412">
        <f t="shared" si="57"/>
      </c>
      <c r="AF151" s="412">
        <f t="shared" si="58"/>
      </c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</row>
    <row r="152" spans="1:43" s="483" customFormat="1" ht="12.75" customHeight="1">
      <c r="A152" s="4"/>
      <c r="B152" s="5"/>
      <c r="C152" s="515">
        <v>8</v>
      </c>
      <c r="D152" s="976">
        <f t="shared" si="49"/>
      </c>
      <c r="E152" s="977"/>
      <c r="F152" s="977"/>
      <c r="G152" s="978"/>
      <c r="H152" s="532">
        <f t="shared" si="50"/>
      </c>
      <c r="I152" s="533">
        <f t="shared" si="59"/>
      </c>
      <c r="J152" s="533">
        <f t="shared" si="51"/>
      </c>
      <c r="K152" s="510"/>
      <c r="L152" s="529"/>
      <c r="M152" s="529"/>
      <c r="N152" s="529"/>
      <c r="O152" s="288"/>
      <c r="P152" s="9"/>
      <c r="Q152" s="412" t="str">
        <f t="shared" si="52"/>
        <v>CAPINI_</v>
      </c>
      <c r="R152" s="416"/>
      <c r="S152" s="402"/>
      <c r="T152" s="402"/>
      <c r="U152" s="402"/>
      <c r="V152" s="414">
        <f t="shared" si="60"/>
        <v>2</v>
      </c>
      <c r="W152" s="402"/>
      <c r="X152" s="421">
        <f>SUMIF(C_MergerSplitTransfer!$U$9:$U$68,$Q152,CHOOSE($V152,C_MergerSplitTransfer!I$9:I$68,C_MergerSplitTransfer!L$9:L$68))</f>
        <v>0</v>
      </c>
      <c r="Y152" s="421">
        <f>SUMIF(C_MergerSplitTransfer!$U$9:$U$68,$Q152,CHOOSE($V152,C_MergerSplitTransfer!J$9:J$68,C_MergerSplitTransfer!M$9:M$68))</f>
        <v>0</v>
      </c>
      <c r="Z152" s="384"/>
      <c r="AA152" s="412">
        <f t="shared" si="53"/>
      </c>
      <c r="AB152" s="412">
        <f t="shared" si="54"/>
      </c>
      <c r="AC152" s="412">
        <f t="shared" si="55"/>
      </c>
      <c r="AD152" s="412">
        <f t="shared" si="56"/>
      </c>
      <c r="AE152" s="412">
        <f t="shared" si="57"/>
      </c>
      <c r="AF152" s="412">
        <f t="shared" si="58"/>
      </c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</row>
    <row r="153" spans="1:43" s="483" customFormat="1" ht="12.75" customHeight="1">
      <c r="A153" s="4"/>
      <c r="B153" s="5"/>
      <c r="C153" s="515">
        <v>9</v>
      </c>
      <c r="D153" s="976">
        <f t="shared" si="49"/>
      </c>
      <c r="E153" s="977"/>
      <c r="F153" s="977"/>
      <c r="G153" s="978"/>
      <c r="H153" s="532">
        <f t="shared" si="50"/>
      </c>
      <c r="I153" s="533">
        <f t="shared" si="59"/>
      </c>
      <c r="J153" s="533">
        <f t="shared" si="51"/>
      </c>
      <c r="K153" s="510"/>
      <c r="L153" s="529"/>
      <c r="M153" s="529"/>
      <c r="N153" s="529"/>
      <c r="O153" s="288"/>
      <c r="P153" s="9"/>
      <c r="Q153" s="412" t="str">
        <f t="shared" si="52"/>
        <v>CAPINI_</v>
      </c>
      <c r="R153" s="416"/>
      <c r="S153" s="402"/>
      <c r="T153" s="402"/>
      <c r="U153" s="402"/>
      <c r="V153" s="414">
        <f t="shared" si="60"/>
        <v>2</v>
      </c>
      <c r="W153" s="402"/>
      <c r="X153" s="421">
        <f>SUMIF(C_MergerSplitTransfer!$U$9:$U$68,$Q153,CHOOSE($V153,C_MergerSplitTransfer!I$9:I$68,C_MergerSplitTransfer!L$9:L$68))</f>
        <v>0</v>
      </c>
      <c r="Y153" s="421">
        <f>SUMIF(C_MergerSplitTransfer!$U$9:$U$68,$Q153,CHOOSE($V153,C_MergerSplitTransfer!J$9:J$68,C_MergerSplitTransfer!M$9:M$68))</f>
        <v>0</v>
      </c>
      <c r="Z153" s="384"/>
      <c r="AA153" s="412">
        <f t="shared" si="53"/>
      </c>
      <c r="AB153" s="412">
        <f t="shared" si="54"/>
      </c>
      <c r="AC153" s="412">
        <f t="shared" si="55"/>
      </c>
      <c r="AD153" s="412">
        <f t="shared" si="56"/>
      </c>
      <c r="AE153" s="412">
        <f t="shared" si="57"/>
      </c>
      <c r="AF153" s="412">
        <f t="shared" si="58"/>
      </c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</row>
    <row r="154" spans="1:43" s="483" customFormat="1" ht="12.75" customHeight="1">
      <c r="A154" s="4"/>
      <c r="B154" s="5"/>
      <c r="C154" s="518">
        <v>10</v>
      </c>
      <c r="D154" s="979">
        <f t="shared" si="49"/>
      </c>
      <c r="E154" s="980"/>
      <c r="F154" s="980"/>
      <c r="G154" s="981"/>
      <c r="H154" s="534">
        <f t="shared" si="50"/>
      </c>
      <c r="I154" s="535">
        <f t="shared" si="59"/>
      </c>
      <c r="J154" s="535">
        <f t="shared" si="51"/>
      </c>
      <c r="K154" s="510"/>
      <c r="L154" s="529"/>
      <c r="M154" s="529"/>
      <c r="N154" s="529"/>
      <c r="O154" s="288"/>
      <c r="P154" s="9"/>
      <c r="Q154" s="412" t="str">
        <f t="shared" si="52"/>
        <v>CAPINI_</v>
      </c>
      <c r="R154" s="416"/>
      <c r="S154" s="402"/>
      <c r="T154" s="402"/>
      <c r="U154" s="402"/>
      <c r="V154" s="414">
        <f t="shared" si="60"/>
        <v>2</v>
      </c>
      <c r="W154" s="402"/>
      <c r="X154" s="421">
        <f>SUMIF(C_MergerSplitTransfer!$U$9:$U$68,$Q154,CHOOSE($V154,C_MergerSplitTransfer!I$9:I$68,C_MergerSplitTransfer!L$9:L$68))</f>
        <v>0</v>
      </c>
      <c r="Y154" s="421">
        <f>SUMIF(C_MergerSplitTransfer!$U$9:$U$68,$Q154,CHOOSE($V154,C_MergerSplitTransfer!J$9:J$68,C_MergerSplitTransfer!M$9:M$68))</f>
        <v>0</v>
      </c>
      <c r="Z154" s="384"/>
      <c r="AA154" s="412">
        <f t="shared" si="53"/>
      </c>
      <c r="AB154" s="412">
        <f t="shared" si="54"/>
      </c>
      <c r="AC154" s="412">
        <f t="shared" si="55"/>
      </c>
      <c r="AD154" s="412">
        <f t="shared" si="56"/>
      </c>
      <c r="AE154" s="412">
        <f t="shared" si="57"/>
      </c>
      <c r="AF154" s="412">
        <f t="shared" si="58"/>
      </c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</row>
    <row r="155" spans="1:43" s="483" customFormat="1" ht="24.75" customHeight="1">
      <c r="A155" s="4"/>
      <c r="B155" s="5"/>
      <c r="C155" s="515">
        <v>11</v>
      </c>
      <c r="D155" s="982" t="str">
        <f aca="true" t="shared" si="61" ref="D155:D160">INDEX(EUconst_FallBackListNames,C155-10)</f>
        <v>Подинсталация с топлинен показател, с риск от изтичане на въглерод</v>
      </c>
      <c r="E155" s="983"/>
      <c r="F155" s="983"/>
      <c r="G155" s="984"/>
      <c r="H155" s="530" t="str">
        <f aca="true" t="shared" si="62" ref="H155:H160">IF(D155&lt;&gt;"",INDEX(EUconst_FallBackListUnits,MATCH($D155,EUconst_FallBackListNames,0))&amp;" / "&amp;EUconst_Year,"")</f>
        <v>TJ / година</v>
      </c>
      <c r="I155" s="531">
        <f t="shared" si="59"/>
      </c>
      <c r="J155" s="531">
        <f t="shared" si="51"/>
      </c>
      <c r="K155" s="510"/>
      <c r="L155" s="529"/>
      <c r="M155" s="529"/>
      <c r="N155" s="529"/>
      <c r="O155" s="288"/>
      <c r="P155" s="9"/>
      <c r="Q155" s="412" t="str">
        <f t="shared" si="52"/>
        <v>CAPINI_Подинсталация с топлинен показател, с риск от изтичане на въглерод</v>
      </c>
      <c r="R155" s="416"/>
      <c r="S155" s="402"/>
      <c r="T155" s="402"/>
      <c r="U155" s="402"/>
      <c r="V155" s="414">
        <f t="shared" si="60"/>
        <v>2</v>
      </c>
      <c r="W155" s="402"/>
      <c r="X155" s="421">
        <f>SUMIF(C_MergerSplitTransfer!$U$9:$U$68,$Q155,CHOOSE($V155,C_MergerSplitTransfer!I$9:I$68,C_MergerSplitTransfer!L$9:L$68))</f>
        <v>0</v>
      </c>
      <c r="Y155" s="421">
        <f>SUMIF(C_MergerSplitTransfer!$U$9:$U$68,$Q155,CHOOSE($V155,C_MergerSplitTransfer!J$9:J$68,C_MergerSplitTransfer!M$9:M$68))</f>
        <v>0</v>
      </c>
      <c r="Z155" s="384"/>
      <c r="AA155" s="412" t="b">
        <v>1</v>
      </c>
      <c r="AB155" s="412">
        <f>EUwideConstants!$C$304</f>
        <v>91</v>
      </c>
      <c r="AC155" s="412">
        <f>EUwideConstants!$H$304</f>
        <v>62.3</v>
      </c>
      <c r="AD155" s="412" t="str">
        <f aca="true" t="shared" si="63" ref="AD155:AD160">EUconst_EUA&amp;" / "&amp;AE155</f>
        <v>EUA / TJ</v>
      </c>
      <c r="AE155" s="412" t="str">
        <f>EUconst_TJ</f>
        <v>TJ</v>
      </c>
      <c r="AF155" s="412" t="str">
        <f aca="true" t="shared" si="64" ref="AF155:AF160">AE155&amp;" / "&amp;EUconst_Year</f>
        <v>TJ / година</v>
      </c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</row>
    <row r="156" spans="1:43" s="483" customFormat="1" ht="24.75" customHeight="1">
      <c r="A156" s="4"/>
      <c r="B156" s="5"/>
      <c r="C156" s="515">
        <v>12</v>
      </c>
      <c r="D156" s="985" t="str">
        <f t="shared" si="61"/>
        <v>Подинсталация с топлинен показател, без риск от изтичане на въглерод</v>
      </c>
      <c r="E156" s="986"/>
      <c r="F156" s="986"/>
      <c r="G156" s="987"/>
      <c r="H156" s="532" t="str">
        <f t="shared" si="62"/>
        <v>TJ / година</v>
      </c>
      <c r="I156" s="533">
        <f t="shared" si="59"/>
      </c>
      <c r="J156" s="533">
        <f t="shared" si="51"/>
      </c>
      <c r="K156" s="510"/>
      <c r="L156" s="529"/>
      <c r="M156" s="529"/>
      <c r="N156" s="529"/>
      <c r="O156" s="288"/>
      <c r="P156" s="9"/>
      <c r="Q156" s="412" t="str">
        <f t="shared" si="52"/>
        <v>CAPINI_Подинсталация с топлинен показател, без риск от изтичане на въглерод</v>
      </c>
      <c r="R156" s="416"/>
      <c r="S156" s="402"/>
      <c r="T156" s="402"/>
      <c r="U156" s="402"/>
      <c r="V156" s="414">
        <f t="shared" si="60"/>
        <v>2</v>
      </c>
      <c r="W156" s="402"/>
      <c r="X156" s="421">
        <f>SUMIF(C_MergerSplitTransfer!$U$9:$U$68,$Q156,CHOOSE($V156,C_MergerSplitTransfer!I$9:I$68,C_MergerSplitTransfer!L$9:L$68))</f>
        <v>0</v>
      </c>
      <c r="Y156" s="421">
        <f>SUMIF(C_MergerSplitTransfer!$U$9:$U$68,$Q156,CHOOSE($V156,C_MergerSplitTransfer!J$9:J$68,C_MergerSplitTransfer!M$9:M$68))</f>
        <v>0</v>
      </c>
      <c r="Z156" s="384"/>
      <c r="AA156" s="412" t="b">
        <v>0</v>
      </c>
      <c r="AB156" s="412">
        <f>EUwideConstants!$C$305</f>
        <v>92</v>
      </c>
      <c r="AC156" s="412">
        <f>EUwideConstants!$H$305</f>
        <v>62.3</v>
      </c>
      <c r="AD156" s="412" t="str">
        <f t="shared" si="63"/>
        <v>EUA / TJ</v>
      </c>
      <c r="AE156" s="412" t="str">
        <f>EUconst_TJ</f>
        <v>TJ</v>
      </c>
      <c r="AF156" s="412" t="str">
        <f t="shared" si="64"/>
        <v>TJ / година</v>
      </c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</row>
    <row r="157" spans="1:43" s="483" customFormat="1" ht="24.75" customHeight="1">
      <c r="A157" s="4"/>
      <c r="B157" s="5"/>
      <c r="C157" s="515">
        <v>13</v>
      </c>
      <c r="D157" s="985" t="str">
        <f t="shared" si="61"/>
        <v>Подинсталация с горивен показател, с риск от изтичане на въглерод</v>
      </c>
      <c r="E157" s="986"/>
      <c r="F157" s="986"/>
      <c r="G157" s="987"/>
      <c r="H157" s="532" t="str">
        <f t="shared" si="62"/>
        <v>TJ / година</v>
      </c>
      <c r="I157" s="533">
        <f t="shared" si="59"/>
      </c>
      <c r="J157" s="533">
        <f t="shared" si="51"/>
      </c>
      <c r="K157" s="510"/>
      <c r="L157" s="529"/>
      <c r="M157" s="529"/>
      <c r="N157" s="529"/>
      <c r="O157" s="288"/>
      <c r="P157" s="9"/>
      <c r="Q157" s="412" t="str">
        <f t="shared" si="52"/>
        <v>CAPINI_Подинсталация с горивен показател, с риск от изтичане на въглерод</v>
      </c>
      <c r="R157" s="416"/>
      <c r="S157" s="402"/>
      <c r="T157" s="402"/>
      <c r="U157" s="402"/>
      <c r="V157" s="414">
        <f t="shared" si="60"/>
        <v>2</v>
      </c>
      <c r="W157" s="402"/>
      <c r="X157" s="421">
        <f>SUMIF(C_MergerSplitTransfer!$U$9:$U$68,$Q157,CHOOSE($V157,C_MergerSplitTransfer!I$9:I$68,C_MergerSplitTransfer!L$9:L$68))</f>
        <v>0</v>
      </c>
      <c r="Y157" s="421">
        <f>SUMIF(C_MergerSplitTransfer!$U$9:$U$68,$Q157,CHOOSE($V157,C_MergerSplitTransfer!J$9:J$68,C_MergerSplitTransfer!M$9:M$68))</f>
        <v>0</v>
      </c>
      <c r="Z157" s="384"/>
      <c r="AA157" s="412" t="b">
        <v>1</v>
      </c>
      <c r="AB157" s="412">
        <f>EUwideConstants!$C$306</f>
        <v>93</v>
      </c>
      <c r="AC157" s="412">
        <f>EUwideConstants!$H$306</f>
        <v>56.1</v>
      </c>
      <c r="AD157" s="412" t="str">
        <f t="shared" si="63"/>
        <v>EUA / TJ</v>
      </c>
      <c r="AE157" s="412" t="str">
        <f>EUconst_TJ</f>
        <v>TJ</v>
      </c>
      <c r="AF157" s="412" t="str">
        <f t="shared" si="64"/>
        <v>TJ / година</v>
      </c>
      <c r="AG157" s="384"/>
      <c r="AH157" s="384"/>
      <c r="AI157" s="384"/>
      <c r="AJ157" s="384"/>
      <c r="AK157" s="384"/>
      <c r="AL157" s="384"/>
      <c r="AM157" s="384"/>
      <c r="AN157" s="384"/>
      <c r="AO157" s="384"/>
      <c r="AP157" s="384"/>
      <c r="AQ157" s="384"/>
    </row>
    <row r="158" spans="1:43" s="483" customFormat="1" ht="24.75" customHeight="1">
      <c r="A158" s="4"/>
      <c r="B158" s="5"/>
      <c r="C158" s="515">
        <v>14</v>
      </c>
      <c r="D158" s="985" t="str">
        <f t="shared" si="61"/>
        <v>Подинсталация с горивен показател, без риск от изтичане на въглерод</v>
      </c>
      <c r="E158" s="986"/>
      <c r="F158" s="986"/>
      <c r="G158" s="987"/>
      <c r="H158" s="532" t="str">
        <f t="shared" si="62"/>
        <v>TJ / година</v>
      </c>
      <c r="I158" s="533">
        <f t="shared" si="59"/>
      </c>
      <c r="J158" s="533">
        <f t="shared" si="51"/>
      </c>
      <c r="K158" s="510"/>
      <c r="L158" s="529"/>
      <c r="M158" s="529"/>
      <c r="N158" s="529"/>
      <c r="O158" s="288"/>
      <c r="P158" s="9"/>
      <c r="Q158" s="412" t="str">
        <f t="shared" si="52"/>
        <v>CAPINI_Подинсталация с горивен показател, без риск от изтичане на въглерод</v>
      </c>
      <c r="R158" s="416"/>
      <c r="S158" s="402"/>
      <c r="T158" s="402"/>
      <c r="U158" s="402"/>
      <c r="V158" s="414">
        <f t="shared" si="60"/>
        <v>2</v>
      </c>
      <c r="W158" s="402"/>
      <c r="X158" s="421">
        <f>SUMIF(C_MergerSplitTransfer!$U$9:$U$68,$Q158,CHOOSE($V158,C_MergerSplitTransfer!I$9:I$68,C_MergerSplitTransfer!L$9:L$68))</f>
        <v>0</v>
      </c>
      <c r="Y158" s="421">
        <f>SUMIF(C_MergerSplitTransfer!$U$9:$U$68,$Q158,CHOOSE($V158,C_MergerSplitTransfer!J$9:J$68,C_MergerSplitTransfer!M$9:M$68))</f>
        <v>0</v>
      </c>
      <c r="Z158" s="384"/>
      <c r="AA158" s="412" t="b">
        <v>0</v>
      </c>
      <c r="AB158" s="412">
        <f>EUwideConstants!$C$307</f>
        <v>94</v>
      </c>
      <c r="AC158" s="412">
        <f>EUwideConstants!$H$307</f>
        <v>56.1</v>
      </c>
      <c r="AD158" s="412" t="str">
        <f t="shared" si="63"/>
        <v>EUA / TJ</v>
      </c>
      <c r="AE158" s="412" t="str">
        <f>EUconst_TJ</f>
        <v>TJ</v>
      </c>
      <c r="AF158" s="412" t="str">
        <f t="shared" si="64"/>
        <v>TJ / година</v>
      </c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</row>
    <row r="159" spans="1:43" s="483" customFormat="1" ht="24.75" customHeight="1">
      <c r="A159" s="4"/>
      <c r="B159" s="5"/>
      <c r="C159" s="515">
        <v>15</v>
      </c>
      <c r="D159" s="985" t="str">
        <f t="shared" si="61"/>
        <v>Подинсталация с технологични емисии, с риск от изтичане на въглерод</v>
      </c>
      <c r="E159" s="986"/>
      <c r="F159" s="986"/>
      <c r="G159" s="987"/>
      <c r="H159" s="532" t="str">
        <f t="shared" si="62"/>
        <v>t CO2e / година</v>
      </c>
      <c r="I159" s="533">
        <f t="shared" si="59"/>
      </c>
      <c r="J159" s="533">
        <f t="shared" si="51"/>
      </c>
      <c r="K159" s="510"/>
      <c r="L159" s="529"/>
      <c r="M159" s="529"/>
      <c r="N159" s="529"/>
      <c r="O159" s="288"/>
      <c r="P159" s="9"/>
      <c r="Q159" s="412" t="str">
        <f t="shared" si="52"/>
        <v>CAPINI_Подинсталация с технологични емисии, с риск от изтичане на въглерод</v>
      </c>
      <c r="R159" s="416"/>
      <c r="S159" s="402"/>
      <c r="T159" s="402"/>
      <c r="U159" s="402"/>
      <c r="V159" s="414">
        <f t="shared" si="60"/>
        <v>2</v>
      </c>
      <c r="W159" s="402"/>
      <c r="X159" s="421">
        <f>SUMIF(C_MergerSplitTransfer!$U$9:$U$68,$Q159,CHOOSE($V159,C_MergerSplitTransfer!I$9:I$68,C_MergerSplitTransfer!L$9:L$68))</f>
        <v>0</v>
      </c>
      <c r="Y159" s="421">
        <f>SUMIF(C_MergerSplitTransfer!$U$9:$U$68,$Q159,CHOOSE($V159,C_MergerSplitTransfer!J$9:J$68,C_MergerSplitTransfer!M$9:M$68))</f>
        <v>0</v>
      </c>
      <c r="Z159" s="384"/>
      <c r="AA159" s="412" t="b">
        <v>1</v>
      </c>
      <c r="AB159" s="412">
        <f>EUwideConstants!$C$308</f>
        <v>95</v>
      </c>
      <c r="AC159" s="412">
        <f>EUwideConstants!$H$308</f>
        <v>0.97</v>
      </c>
      <c r="AD159" s="412" t="str">
        <f t="shared" si="63"/>
        <v>EUA / t CO2e</v>
      </c>
      <c r="AE159" s="412" t="str">
        <f>EUconst_tCO2e</f>
        <v>t CO2e</v>
      </c>
      <c r="AF159" s="412" t="str">
        <f t="shared" si="64"/>
        <v>t CO2e / година</v>
      </c>
      <c r="AG159" s="384"/>
      <c r="AH159" s="384"/>
      <c r="AI159" s="384"/>
      <c r="AJ159" s="384"/>
      <c r="AK159" s="384"/>
      <c r="AL159" s="384"/>
      <c r="AM159" s="384"/>
      <c r="AN159" s="384"/>
      <c r="AO159" s="384"/>
      <c r="AP159" s="384"/>
      <c r="AQ159" s="384"/>
    </row>
    <row r="160" spans="1:43" s="483" customFormat="1" ht="24.75" customHeight="1" thickBot="1">
      <c r="A160" s="4"/>
      <c r="B160" s="5"/>
      <c r="C160" s="518">
        <v>16</v>
      </c>
      <c r="D160" s="988" t="str">
        <f t="shared" si="61"/>
        <v>Подинсталация с технологични емисии, без риск от изтичане на въглерод</v>
      </c>
      <c r="E160" s="989"/>
      <c r="F160" s="989"/>
      <c r="G160" s="990"/>
      <c r="H160" s="534" t="str">
        <f t="shared" si="62"/>
        <v>t CO2e / година</v>
      </c>
      <c r="I160" s="535">
        <f t="shared" si="59"/>
      </c>
      <c r="J160" s="535">
        <f t="shared" si="51"/>
      </c>
      <c r="K160" s="510"/>
      <c r="L160" s="529"/>
      <c r="M160" s="529"/>
      <c r="N160" s="529"/>
      <c r="O160" s="288"/>
      <c r="P160" s="9"/>
      <c r="Q160" s="412" t="str">
        <f t="shared" si="52"/>
        <v>CAPINI_Подинсталация с технологични емисии, без риск от изтичане на въглерод</v>
      </c>
      <c r="R160" s="416"/>
      <c r="S160" s="402"/>
      <c r="T160" s="402"/>
      <c r="U160" s="402"/>
      <c r="V160" s="415">
        <f t="shared" si="60"/>
        <v>2</v>
      </c>
      <c r="W160" s="402"/>
      <c r="X160" s="421">
        <f>SUMIF(C_MergerSplitTransfer!$U$9:$U$68,$Q160,CHOOSE($V160,C_MergerSplitTransfer!I$9:I$68,C_MergerSplitTransfer!L$9:L$68))</f>
        <v>0</v>
      </c>
      <c r="Y160" s="421">
        <f>SUMIF(C_MergerSplitTransfer!$U$9:$U$68,$Q160,CHOOSE($V160,C_MergerSplitTransfer!J$9:J$68,C_MergerSplitTransfer!M$9:M$68))</f>
        <v>0</v>
      </c>
      <c r="Z160" s="384"/>
      <c r="AA160" s="412" t="b">
        <v>0</v>
      </c>
      <c r="AB160" s="412">
        <f>EUwideConstants!$C$309</f>
        <v>96</v>
      </c>
      <c r="AC160" s="412">
        <f>EUwideConstants!$H$309</f>
        <v>0.97</v>
      </c>
      <c r="AD160" s="412" t="str">
        <f t="shared" si="63"/>
        <v>EUA / t CO2e</v>
      </c>
      <c r="AE160" s="412" t="str">
        <f>EUconst_tCO2e</f>
        <v>t CO2e</v>
      </c>
      <c r="AF160" s="412" t="str">
        <f t="shared" si="64"/>
        <v>t CO2e / година</v>
      </c>
      <c r="AG160" s="384"/>
      <c r="AH160" s="384"/>
      <c r="AI160" s="384"/>
      <c r="AJ160" s="384"/>
      <c r="AK160" s="384"/>
      <c r="AL160" s="384"/>
      <c r="AM160" s="384"/>
      <c r="AN160" s="384"/>
      <c r="AO160" s="384"/>
      <c r="AP160" s="384"/>
      <c r="AQ160" s="384"/>
    </row>
    <row r="161" spans="1:43" s="483" customFormat="1" ht="12.75" customHeight="1">
      <c r="A161" s="4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9"/>
      <c r="N161" s="9"/>
      <c r="O161" s="280"/>
      <c r="P161" s="9"/>
      <c r="Q161" s="402"/>
      <c r="R161" s="416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  <c r="AL161" s="384"/>
      <c r="AM161" s="384"/>
      <c r="AN161" s="384"/>
      <c r="AO161" s="384"/>
      <c r="AP161" s="384"/>
      <c r="AQ161" s="384"/>
    </row>
    <row r="162" spans="1:43" s="483" customFormat="1" ht="12.75" customHeight="1">
      <c r="A162" s="4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9"/>
      <c r="N162" s="9"/>
      <c r="O162" s="280"/>
      <c r="P162" s="9"/>
      <c r="Q162" s="402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  <c r="AL162" s="384"/>
      <c r="AM162" s="384"/>
      <c r="AN162" s="384"/>
      <c r="AO162" s="384"/>
      <c r="AP162" s="384"/>
      <c r="AQ162" s="384"/>
    </row>
    <row r="163" spans="1:43" s="483" customFormat="1" ht="12.75" customHeight="1">
      <c r="A163" s="4"/>
      <c r="B163" s="5"/>
      <c r="C163" s="7"/>
      <c r="D163" s="5"/>
      <c r="E163" s="5"/>
      <c r="F163" s="5"/>
      <c r="G163" s="5"/>
      <c r="H163" s="537"/>
      <c r="I163" s="536"/>
      <c r="J163" s="5"/>
      <c r="K163" s="5"/>
      <c r="L163" s="5"/>
      <c r="M163" s="9"/>
      <c r="N163" s="9"/>
      <c r="O163" s="280"/>
      <c r="P163" s="9"/>
      <c r="Q163" s="402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  <c r="AO163" s="384"/>
      <c r="AP163" s="384"/>
      <c r="AQ163" s="384"/>
    </row>
    <row r="164" spans="1:43" s="483" customFormat="1" ht="12.75" customHeight="1">
      <c r="A164" s="4"/>
      <c r="B164" s="5"/>
      <c r="C164" s="7"/>
      <c r="D164" s="5"/>
      <c r="E164" s="5"/>
      <c r="F164" s="5"/>
      <c r="G164" s="5"/>
      <c r="H164" s="5"/>
      <c r="I164" s="5"/>
      <c r="J164" s="536"/>
      <c r="K164" s="539"/>
      <c r="L164" s="5"/>
      <c r="M164" s="9"/>
      <c r="N164" s="9"/>
      <c r="O164" s="280"/>
      <c r="P164" s="9"/>
      <c r="Q164" s="402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  <c r="AL164" s="384"/>
      <c r="AM164" s="384"/>
      <c r="AN164" s="384"/>
      <c r="AO164" s="384"/>
      <c r="AP164" s="384"/>
      <c r="AQ164" s="384"/>
    </row>
    <row r="165" spans="1:43" s="483" customFormat="1" ht="12.75" customHeight="1">
      <c r="A165" s="4"/>
      <c r="B165" s="5"/>
      <c r="C165" s="7"/>
      <c r="D165" s="5"/>
      <c r="E165" s="5"/>
      <c r="F165" s="5"/>
      <c r="G165" s="5"/>
      <c r="H165" s="5"/>
      <c r="I165" s="537"/>
      <c r="J165" s="5"/>
      <c r="K165" s="5"/>
      <c r="L165" s="5"/>
      <c r="M165" s="9"/>
      <c r="N165" s="9"/>
      <c r="O165" s="280"/>
      <c r="P165" s="9"/>
      <c r="Q165" s="402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4"/>
      <c r="AO165" s="384"/>
      <c r="AP165" s="384"/>
      <c r="AQ165" s="384"/>
    </row>
    <row r="166" spans="2:9" ht="12.75">
      <c r="B166" s="490"/>
      <c r="C166" s="490"/>
      <c r="E166" s="490"/>
      <c r="I166" s="538"/>
    </row>
    <row r="167" ht="12.75">
      <c r="I167" s="538"/>
    </row>
    <row r="168" spans="2:9" ht="12.75">
      <c r="B168" s="490"/>
      <c r="E168" s="490"/>
      <c r="I168" s="538"/>
    </row>
    <row r="169" ht="12.75">
      <c r="I169" s="538"/>
    </row>
    <row r="170" spans="2:9" ht="12.75">
      <c r="B170" s="490"/>
      <c r="I170" s="538"/>
    </row>
    <row r="171" ht="12.75">
      <c r="I171" s="538"/>
    </row>
    <row r="172" spans="2:9" ht="12.75">
      <c r="B172" s="490"/>
      <c r="I172" s="538"/>
    </row>
    <row r="173" ht="12.75">
      <c r="I173" s="538"/>
    </row>
    <row r="174" spans="2:9" ht="12.75">
      <c r="B174" s="490"/>
      <c r="I174" s="538"/>
    </row>
    <row r="175" spans="2:9" ht="12.75">
      <c r="B175" s="490"/>
      <c r="I175" s="538"/>
    </row>
    <row r="176" ht="12.75">
      <c r="I176" s="538"/>
    </row>
    <row r="177" ht="12.75">
      <c r="I177" s="538"/>
    </row>
    <row r="178" spans="2:9" ht="12.75">
      <c r="B178" s="490"/>
      <c r="I178" s="538"/>
    </row>
    <row r="179" ht="12.75">
      <c r="I179" s="538"/>
    </row>
    <row r="180" ht="12.75">
      <c r="I180" s="538"/>
    </row>
    <row r="181" spans="2:9" ht="12.75">
      <c r="B181" s="490"/>
      <c r="I181" s="538"/>
    </row>
    <row r="182" ht="12.75">
      <c r="I182" s="538"/>
    </row>
    <row r="183" spans="2:9" ht="12.75">
      <c r="B183" s="490"/>
      <c r="I183" s="538"/>
    </row>
    <row r="184" ht="12.75">
      <c r="I184" s="538"/>
    </row>
    <row r="185" ht="12.75">
      <c r="I185" s="538"/>
    </row>
    <row r="186" ht="12.75">
      <c r="I186" s="538"/>
    </row>
    <row r="187" ht="12.75">
      <c r="I187" s="538"/>
    </row>
    <row r="188" ht="12.75">
      <c r="I188" s="538"/>
    </row>
    <row r="189" ht="12.75">
      <c r="I189" s="538"/>
    </row>
    <row r="190" ht="12.75">
      <c r="I190" s="538"/>
    </row>
    <row r="191" ht="12.75">
      <c r="I191" s="538"/>
    </row>
    <row r="192" ht="12.75">
      <c r="I192" s="538"/>
    </row>
    <row r="193" ht="12.75">
      <c r="I193" s="538"/>
    </row>
    <row r="194" ht="12.75">
      <c r="I194" s="538"/>
    </row>
    <row r="195" spans="2:9" ht="12.75">
      <c r="B195" s="490"/>
      <c r="I195" s="538"/>
    </row>
    <row r="196" ht="12.75">
      <c r="I196" s="538"/>
    </row>
    <row r="197" ht="12.75">
      <c r="I197" s="538"/>
    </row>
    <row r="198" ht="12.75">
      <c r="I198" s="538"/>
    </row>
    <row r="199" ht="12.75">
      <c r="I199" s="538"/>
    </row>
    <row r="200" ht="12.75">
      <c r="I200" s="538"/>
    </row>
    <row r="201" ht="12.75">
      <c r="I201" s="538"/>
    </row>
    <row r="202" ht="12.75">
      <c r="I202" s="538"/>
    </row>
    <row r="203" ht="12.75">
      <c r="I203" s="538"/>
    </row>
    <row r="204" ht="12.75">
      <c r="I204" s="538"/>
    </row>
    <row r="205" ht="12.75">
      <c r="I205" s="538"/>
    </row>
    <row r="206" ht="12.75">
      <c r="I206" s="538"/>
    </row>
    <row r="207" ht="12.75">
      <c r="I207" s="538"/>
    </row>
    <row r="208" ht="12.75">
      <c r="I208" s="538"/>
    </row>
    <row r="209" ht="12.75">
      <c r="I209" s="538"/>
    </row>
    <row r="210" ht="12.75">
      <c r="I210" s="538"/>
    </row>
    <row r="211" ht="12.75">
      <c r="I211" s="538"/>
    </row>
    <row r="212" ht="12.75">
      <c r="I212" s="538"/>
    </row>
    <row r="213" ht="12.75">
      <c r="I213" s="538"/>
    </row>
    <row r="214" ht="12.75">
      <c r="I214" s="538"/>
    </row>
    <row r="215" ht="12.75">
      <c r="I215" s="538"/>
    </row>
    <row r="216" ht="12.75">
      <c r="I216" s="538"/>
    </row>
    <row r="217" ht="12.75">
      <c r="I217" s="538"/>
    </row>
    <row r="218" ht="12.75">
      <c r="I218" s="538"/>
    </row>
    <row r="219" ht="12.75">
      <c r="I219" s="538"/>
    </row>
    <row r="220" ht="12.75">
      <c r="I220" s="538"/>
    </row>
    <row r="221" ht="12.75">
      <c r="I221" s="538"/>
    </row>
    <row r="222" ht="12.75">
      <c r="I222" s="538"/>
    </row>
    <row r="223" ht="12.75">
      <c r="I223" s="538"/>
    </row>
    <row r="224" ht="12.75">
      <c r="I224" s="538"/>
    </row>
    <row r="225" ht="12.75">
      <c r="I225" s="538"/>
    </row>
    <row r="226" ht="12.75">
      <c r="I226" s="538"/>
    </row>
    <row r="227" ht="12.75">
      <c r="I227" s="538"/>
    </row>
    <row r="228" ht="12.75">
      <c r="I228" s="538"/>
    </row>
    <row r="229" ht="12.75">
      <c r="I229" s="538"/>
    </row>
    <row r="230" ht="12.75">
      <c r="I230" s="538"/>
    </row>
    <row r="231" ht="12.75">
      <c r="I231" s="538"/>
    </row>
    <row r="232" ht="12.75">
      <c r="I232" s="538"/>
    </row>
    <row r="233" ht="12.75">
      <c r="I233" s="538"/>
    </row>
    <row r="234" ht="12.75">
      <c r="I234" s="538"/>
    </row>
    <row r="235" ht="12.75">
      <c r="I235" s="538"/>
    </row>
    <row r="236" ht="12.75">
      <c r="I236" s="538"/>
    </row>
    <row r="237" ht="12.75">
      <c r="I237" s="538"/>
    </row>
    <row r="238" ht="12.75">
      <c r="I238" s="538"/>
    </row>
    <row r="239" ht="12.75">
      <c r="I239" s="538"/>
    </row>
    <row r="240" ht="12.75">
      <c r="I240" s="538"/>
    </row>
    <row r="241" ht="12.75">
      <c r="I241" s="538"/>
    </row>
    <row r="242" ht="12.75">
      <c r="I242" s="538"/>
    </row>
    <row r="243" ht="12.75">
      <c r="I243" s="538"/>
    </row>
    <row r="244" ht="12.75">
      <c r="I244" s="538"/>
    </row>
    <row r="245" ht="12.75">
      <c r="I245" s="538"/>
    </row>
    <row r="246" ht="12.75">
      <c r="I246" s="538"/>
    </row>
    <row r="247" ht="12.75">
      <c r="I247" s="538"/>
    </row>
    <row r="248" ht="12.75">
      <c r="I248" s="538"/>
    </row>
    <row r="249" ht="12.75">
      <c r="I249" s="538"/>
    </row>
    <row r="250" ht="12.75">
      <c r="I250" s="538"/>
    </row>
    <row r="251" ht="12.75">
      <c r="I251" s="538"/>
    </row>
    <row r="252" ht="12.75">
      <c r="I252" s="538"/>
    </row>
    <row r="253" ht="12.75">
      <c r="I253" s="538"/>
    </row>
    <row r="254" ht="12.75">
      <c r="I254" s="538"/>
    </row>
    <row r="255" ht="12.75">
      <c r="I255" s="538"/>
    </row>
    <row r="256" ht="12.75">
      <c r="I256" s="538"/>
    </row>
    <row r="257" ht="12.75">
      <c r="I257" s="538"/>
    </row>
    <row r="258" ht="12.75">
      <c r="I258" s="538"/>
    </row>
    <row r="259" ht="12.75">
      <c r="I259" s="538"/>
    </row>
    <row r="260" ht="12.75">
      <c r="I260" s="538"/>
    </row>
    <row r="261" ht="12.75">
      <c r="I261" s="538"/>
    </row>
    <row r="262" ht="12.75">
      <c r="I262" s="538"/>
    </row>
    <row r="263" ht="12.75">
      <c r="I263" s="538"/>
    </row>
    <row r="264" ht="12.75">
      <c r="I264" s="538"/>
    </row>
    <row r="265" ht="12.75">
      <c r="I265" s="538"/>
    </row>
    <row r="266" ht="12.75">
      <c r="I266" s="538"/>
    </row>
    <row r="267" ht="12.75">
      <c r="I267" s="538"/>
    </row>
    <row r="268" ht="12.75">
      <c r="I268" s="538"/>
    </row>
    <row r="269" ht="12.75">
      <c r="I269" s="538"/>
    </row>
    <row r="270" ht="12.75">
      <c r="I270" s="538"/>
    </row>
    <row r="271" ht="12.75">
      <c r="I271" s="538"/>
    </row>
    <row r="272" ht="12.75">
      <c r="I272" s="538"/>
    </row>
    <row r="273" ht="12.75">
      <c r="I273" s="538"/>
    </row>
    <row r="274" ht="12.75">
      <c r="I274" s="538"/>
    </row>
    <row r="275" ht="12.75">
      <c r="I275" s="538"/>
    </row>
    <row r="276" ht="12.75">
      <c r="I276" s="538"/>
    </row>
    <row r="277" ht="12.75">
      <c r="I277" s="538"/>
    </row>
    <row r="278" ht="12.75">
      <c r="I278" s="538"/>
    </row>
    <row r="279" ht="12.75">
      <c r="I279" s="538"/>
    </row>
    <row r="280" ht="12.75">
      <c r="I280" s="538"/>
    </row>
    <row r="281" ht="12.75">
      <c r="I281" s="538"/>
    </row>
    <row r="282" ht="12.75">
      <c r="I282" s="538"/>
    </row>
    <row r="283" ht="12.75">
      <c r="I283" s="538"/>
    </row>
    <row r="284" ht="12.75">
      <c r="I284" s="538"/>
    </row>
    <row r="285" ht="12.75">
      <c r="I285" s="538"/>
    </row>
    <row r="286" ht="12.75">
      <c r="I286" s="538"/>
    </row>
    <row r="287" ht="12.75">
      <c r="I287" s="538"/>
    </row>
    <row r="288" ht="12.75">
      <c r="I288" s="538"/>
    </row>
    <row r="289" ht="12.75">
      <c r="I289" s="538"/>
    </row>
    <row r="290" ht="12.75">
      <c r="I290" s="538"/>
    </row>
    <row r="291" ht="12.75">
      <c r="I291" s="538"/>
    </row>
    <row r="292" ht="12.75">
      <c r="I292" s="538"/>
    </row>
    <row r="293" ht="12.75">
      <c r="I293" s="538"/>
    </row>
    <row r="294" ht="12.75">
      <c r="I294" s="538"/>
    </row>
    <row r="295" ht="12.75">
      <c r="I295" s="538"/>
    </row>
    <row r="296" ht="12.75">
      <c r="I296" s="538"/>
    </row>
    <row r="297" ht="12.75">
      <c r="I297" s="538"/>
    </row>
    <row r="298" ht="12.75">
      <c r="I298" s="538"/>
    </row>
    <row r="299" ht="12.75">
      <c r="I299" s="538"/>
    </row>
    <row r="300" ht="12.75">
      <c r="I300" s="538"/>
    </row>
    <row r="301" ht="12.75">
      <c r="I301" s="538"/>
    </row>
    <row r="302" ht="12.75">
      <c r="I302" s="538"/>
    </row>
    <row r="303" ht="12.75">
      <c r="I303" s="538"/>
    </row>
    <row r="304" ht="12.75">
      <c r="I304" s="538"/>
    </row>
    <row r="305" ht="12.75">
      <c r="I305" s="538"/>
    </row>
    <row r="306" ht="12.75">
      <c r="I306" s="538"/>
    </row>
    <row r="307" ht="12.75">
      <c r="I307" s="538"/>
    </row>
    <row r="308" ht="12.75">
      <c r="I308" s="538"/>
    </row>
    <row r="309" ht="12.75">
      <c r="I309" s="538"/>
    </row>
    <row r="310" ht="12.75">
      <c r="I310" s="538"/>
    </row>
    <row r="311" ht="12.75">
      <c r="I311" s="538"/>
    </row>
    <row r="312" ht="12.75">
      <c r="I312" s="538"/>
    </row>
    <row r="313" ht="12.75">
      <c r="I313" s="538"/>
    </row>
    <row r="314" ht="12.75">
      <c r="I314" s="538"/>
    </row>
    <row r="315" ht="12.75">
      <c r="I315" s="538"/>
    </row>
    <row r="316" ht="12.75">
      <c r="I316" s="538"/>
    </row>
    <row r="317" ht="12.75">
      <c r="I317" s="538"/>
    </row>
    <row r="318" ht="12.75">
      <c r="I318" s="538"/>
    </row>
    <row r="319" ht="12.75">
      <c r="I319" s="538"/>
    </row>
    <row r="320" ht="12.75">
      <c r="I320" s="538"/>
    </row>
    <row r="321" ht="12.75">
      <c r="I321" s="538"/>
    </row>
    <row r="322" ht="12.75">
      <c r="I322" s="538"/>
    </row>
    <row r="323" ht="12.75">
      <c r="I323" s="538"/>
    </row>
    <row r="324" ht="12.75">
      <c r="I324" s="538"/>
    </row>
    <row r="325" ht="12.75">
      <c r="I325" s="538"/>
    </row>
    <row r="326" ht="12.75">
      <c r="I326" s="538"/>
    </row>
    <row r="327" ht="12.75">
      <c r="I327" s="538"/>
    </row>
    <row r="328" ht="12.75">
      <c r="I328" s="538"/>
    </row>
    <row r="329" ht="12.75">
      <c r="I329" s="538"/>
    </row>
    <row r="330" ht="12.75">
      <c r="I330" s="538"/>
    </row>
    <row r="331" ht="12.75">
      <c r="I331" s="538"/>
    </row>
    <row r="332" ht="12.75">
      <c r="I332" s="538"/>
    </row>
    <row r="333" ht="12.75">
      <c r="I333" s="538"/>
    </row>
    <row r="334" ht="12.75">
      <c r="I334" s="538"/>
    </row>
    <row r="335" ht="12.75">
      <c r="I335" s="538"/>
    </row>
    <row r="336" ht="12.75">
      <c r="I336" s="538"/>
    </row>
    <row r="337" ht="12.75">
      <c r="I337" s="538"/>
    </row>
    <row r="338" ht="12.75">
      <c r="I338" s="538"/>
    </row>
    <row r="339" ht="12.75">
      <c r="I339" s="538"/>
    </row>
    <row r="340" ht="12.75">
      <c r="I340" s="538"/>
    </row>
    <row r="341" ht="12.75">
      <c r="I341" s="538"/>
    </row>
    <row r="342" ht="12.75">
      <c r="I342" s="538"/>
    </row>
    <row r="343" ht="12.75">
      <c r="I343" s="538"/>
    </row>
    <row r="344" ht="12.75">
      <c r="I344" s="538"/>
    </row>
    <row r="345" ht="12.75">
      <c r="I345" s="538"/>
    </row>
    <row r="346" ht="12.75">
      <c r="I346" s="538"/>
    </row>
    <row r="347" ht="12.75">
      <c r="I347" s="538"/>
    </row>
    <row r="348" ht="12.75">
      <c r="I348" s="538"/>
    </row>
    <row r="349" ht="12.75">
      <c r="I349" s="538"/>
    </row>
    <row r="350" ht="12.75">
      <c r="I350" s="538"/>
    </row>
    <row r="351" ht="12.75">
      <c r="I351" s="538"/>
    </row>
    <row r="352" ht="12.75">
      <c r="I352" s="538"/>
    </row>
    <row r="353" ht="12.75">
      <c r="I353" s="538"/>
    </row>
    <row r="354" ht="12.75">
      <c r="I354" s="538"/>
    </row>
    <row r="355" ht="12.75">
      <c r="I355" s="538"/>
    </row>
    <row r="356" ht="12.75">
      <c r="I356" s="538"/>
    </row>
    <row r="357" ht="12.75">
      <c r="I357" s="538"/>
    </row>
    <row r="358" ht="12.75">
      <c r="I358" s="538"/>
    </row>
    <row r="359" ht="12.75">
      <c r="I359" s="538"/>
    </row>
    <row r="360" ht="12.75">
      <c r="I360" s="538"/>
    </row>
    <row r="361" ht="12.75">
      <c r="I361" s="538"/>
    </row>
    <row r="362" ht="12.75">
      <c r="I362" s="538"/>
    </row>
    <row r="363" ht="12.75">
      <c r="I363" s="538"/>
    </row>
    <row r="364" ht="12.75">
      <c r="I364" s="538"/>
    </row>
    <row r="365" ht="12.75">
      <c r="I365" s="538"/>
    </row>
    <row r="366" ht="12.75">
      <c r="I366" s="538"/>
    </row>
    <row r="367" ht="12.75">
      <c r="I367" s="538"/>
    </row>
    <row r="368" ht="12.75">
      <c r="I368" s="538"/>
    </row>
    <row r="369" ht="12.75">
      <c r="I369" s="538"/>
    </row>
    <row r="370" ht="12.75">
      <c r="I370" s="538"/>
    </row>
    <row r="371" ht="12.75">
      <c r="I371" s="538"/>
    </row>
    <row r="372" ht="12.75">
      <c r="I372" s="538"/>
    </row>
    <row r="373" ht="12.75">
      <c r="I373" s="538"/>
    </row>
    <row r="374" ht="12.75">
      <c r="I374" s="538"/>
    </row>
    <row r="375" ht="12.75">
      <c r="I375" s="538"/>
    </row>
    <row r="376" ht="12.75">
      <c r="I376" s="538"/>
    </row>
    <row r="377" ht="12.75">
      <c r="I377" s="538"/>
    </row>
    <row r="378" ht="12.75">
      <c r="I378" s="538"/>
    </row>
    <row r="379" ht="12.75">
      <c r="I379" s="538"/>
    </row>
    <row r="380" ht="12.75">
      <c r="I380" s="538"/>
    </row>
    <row r="381" ht="12.75">
      <c r="I381" s="538"/>
    </row>
    <row r="382" ht="12.75">
      <c r="I382" s="538"/>
    </row>
    <row r="383" ht="12.75">
      <c r="I383" s="538"/>
    </row>
    <row r="384" ht="12.75">
      <c r="I384" s="538"/>
    </row>
    <row r="385" ht="12.75">
      <c r="I385" s="538"/>
    </row>
    <row r="386" ht="12.75">
      <c r="I386" s="538"/>
    </row>
    <row r="387" ht="12.75">
      <c r="I387" s="538"/>
    </row>
    <row r="388" ht="12.75">
      <c r="I388" s="538"/>
    </row>
    <row r="389" ht="12.75">
      <c r="I389" s="538"/>
    </row>
    <row r="390" ht="12.75">
      <c r="I390" s="538"/>
    </row>
    <row r="391" ht="12.75">
      <c r="I391" s="538"/>
    </row>
    <row r="392" ht="12.75">
      <c r="I392" s="538"/>
    </row>
    <row r="393" ht="12.75">
      <c r="I393" s="538"/>
    </row>
    <row r="394" ht="12.75">
      <c r="I394" s="538"/>
    </row>
    <row r="395" ht="12.75">
      <c r="I395" s="538"/>
    </row>
    <row r="396" ht="12.75">
      <c r="I396" s="538"/>
    </row>
    <row r="397" ht="12.75">
      <c r="I397" s="538"/>
    </row>
    <row r="398" ht="12.75">
      <c r="I398" s="538"/>
    </row>
    <row r="399" ht="12.75">
      <c r="I399" s="538"/>
    </row>
    <row r="400" ht="12.75">
      <c r="I400" s="538"/>
    </row>
    <row r="401" ht="12.75">
      <c r="I401" s="538"/>
    </row>
    <row r="402" ht="12.75">
      <c r="I402" s="538"/>
    </row>
    <row r="403" ht="12.75">
      <c r="I403" s="538"/>
    </row>
    <row r="404" ht="12.75">
      <c r="I404" s="538"/>
    </row>
    <row r="405" ht="12.75">
      <c r="I405" s="538"/>
    </row>
    <row r="406" ht="12.75">
      <c r="I406" s="538"/>
    </row>
    <row r="407" ht="12.75">
      <c r="I407" s="538"/>
    </row>
    <row r="408" ht="12.75">
      <c r="I408" s="538"/>
    </row>
    <row r="409" ht="12.75">
      <c r="I409" s="538"/>
    </row>
    <row r="410" ht="12.75">
      <c r="I410" s="538"/>
    </row>
    <row r="411" ht="12.75">
      <c r="I411" s="538"/>
    </row>
    <row r="412" ht="12.75">
      <c r="I412" s="538"/>
    </row>
    <row r="413" ht="12.75">
      <c r="I413" s="538"/>
    </row>
    <row r="414" ht="12.75">
      <c r="I414" s="538"/>
    </row>
    <row r="415" ht="12.75">
      <c r="I415" s="538"/>
    </row>
    <row r="416" ht="12.75">
      <c r="I416" s="538"/>
    </row>
    <row r="417" ht="12.75">
      <c r="I417" s="538"/>
    </row>
    <row r="418" ht="12.75">
      <c r="I418" s="538"/>
    </row>
    <row r="419" ht="12.75">
      <c r="I419" s="538"/>
    </row>
    <row r="420" ht="12.75">
      <c r="I420" s="538"/>
    </row>
    <row r="421" ht="12.75">
      <c r="I421" s="538"/>
    </row>
    <row r="422" ht="12.75">
      <c r="I422" s="538"/>
    </row>
    <row r="423" ht="12.75">
      <c r="I423" s="538"/>
    </row>
    <row r="424" ht="12.75">
      <c r="I424" s="538"/>
    </row>
    <row r="425" ht="12.75">
      <c r="I425" s="538"/>
    </row>
    <row r="426" ht="12.75">
      <c r="I426" s="538"/>
    </row>
    <row r="427" ht="12.75">
      <c r="I427" s="538"/>
    </row>
    <row r="428" ht="12.75">
      <c r="I428" s="538"/>
    </row>
    <row r="429" ht="12.75">
      <c r="I429" s="538"/>
    </row>
    <row r="430" ht="12.75">
      <c r="I430" s="538"/>
    </row>
    <row r="431" ht="12.75">
      <c r="I431" s="538"/>
    </row>
    <row r="432" ht="12.75">
      <c r="I432" s="538"/>
    </row>
    <row r="433" ht="12.75">
      <c r="I433" s="538"/>
    </row>
    <row r="434" ht="12.75">
      <c r="I434" s="538"/>
    </row>
    <row r="435" ht="12.75">
      <c r="I435" s="538"/>
    </row>
    <row r="436" ht="12.75">
      <c r="I436" s="538"/>
    </row>
    <row r="437" ht="12.75">
      <c r="I437" s="538"/>
    </row>
    <row r="438" ht="12.75">
      <c r="I438" s="538"/>
    </row>
    <row r="439" ht="12.75">
      <c r="I439" s="538"/>
    </row>
    <row r="440" ht="12.75">
      <c r="I440" s="538"/>
    </row>
    <row r="441" ht="12.75">
      <c r="I441" s="538"/>
    </row>
    <row r="442" ht="12.75">
      <c r="I442" s="538"/>
    </row>
    <row r="443" ht="12.75">
      <c r="I443" s="538"/>
    </row>
    <row r="444" ht="12.75">
      <c r="I444" s="538"/>
    </row>
    <row r="445" ht="12.75">
      <c r="I445" s="538"/>
    </row>
    <row r="446" ht="12.75">
      <c r="I446" s="538"/>
    </row>
    <row r="447" ht="12.75">
      <c r="I447" s="538"/>
    </row>
    <row r="448" ht="12.75">
      <c r="I448" s="538"/>
    </row>
    <row r="449" ht="12.75">
      <c r="I449" s="538"/>
    </row>
    <row r="450" ht="12.75">
      <c r="I450" s="538"/>
    </row>
    <row r="451" ht="12.75">
      <c r="I451" s="538"/>
    </row>
    <row r="452" ht="12.75">
      <c r="I452" s="538"/>
    </row>
    <row r="453" ht="12.75">
      <c r="I453" s="538"/>
    </row>
    <row r="454" ht="12.75">
      <c r="I454" s="538"/>
    </row>
    <row r="455" ht="12.75">
      <c r="I455" s="538"/>
    </row>
    <row r="456" ht="12.75">
      <c r="I456" s="538"/>
    </row>
    <row r="457" ht="12.75">
      <c r="I457" s="538"/>
    </row>
    <row r="458" ht="12.75">
      <c r="I458" s="538"/>
    </row>
    <row r="459" ht="12.75">
      <c r="I459" s="538"/>
    </row>
    <row r="460" ht="12.75">
      <c r="I460" s="538"/>
    </row>
    <row r="461" ht="12.75">
      <c r="I461" s="538"/>
    </row>
    <row r="462" ht="12.75">
      <c r="I462" s="538"/>
    </row>
    <row r="463" ht="12.75">
      <c r="I463" s="538"/>
    </row>
    <row r="464" ht="12.75">
      <c r="I464" s="538"/>
    </row>
    <row r="465" ht="12.75">
      <c r="I465" s="538"/>
    </row>
    <row r="466" ht="12.75">
      <c r="I466" s="538"/>
    </row>
    <row r="467" ht="12.75">
      <c r="I467" s="538"/>
    </row>
    <row r="468" ht="12.75">
      <c r="I468" s="538"/>
    </row>
    <row r="469" ht="12.75">
      <c r="I469" s="538"/>
    </row>
    <row r="470" ht="12.75">
      <c r="I470" s="538"/>
    </row>
    <row r="471" ht="12.75">
      <c r="I471" s="538"/>
    </row>
    <row r="472" ht="12.75">
      <c r="I472" s="538"/>
    </row>
    <row r="473" ht="12.75">
      <c r="I473" s="538"/>
    </row>
    <row r="474" ht="12.75">
      <c r="I474" s="538"/>
    </row>
    <row r="475" ht="12.75">
      <c r="I475" s="538"/>
    </row>
    <row r="476" ht="12.75">
      <c r="I476" s="538"/>
    </row>
    <row r="477" ht="12.75">
      <c r="I477" s="538"/>
    </row>
    <row r="478" ht="12.75">
      <c r="I478" s="538"/>
    </row>
    <row r="479" ht="12.75">
      <c r="I479" s="538"/>
    </row>
    <row r="480" ht="12.75">
      <c r="I480" s="538"/>
    </row>
    <row r="481" ht="12.75">
      <c r="I481" s="538"/>
    </row>
    <row r="482" ht="12.75">
      <c r="I482" s="538"/>
    </row>
    <row r="483" ht="12.75">
      <c r="I483" s="538"/>
    </row>
    <row r="484" ht="12.75">
      <c r="I484" s="538"/>
    </row>
    <row r="485" ht="12.75">
      <c r="I485" s="538"/>
    </row>
    <row r="486" ht="12.75">
      <c r="I486" s="538"/>
    </row>
    <row r="487" ht="12.75">
      <c r="I487" s="538"/>
    </row>
    <row r="488" ht="12.75">
      <c r="I488" s="538"/>
    </row>
    <row r="489" ht="12.75">
      <c r="I489" s="538"/>
    </row>
    <row r="490" ht="12.75">
      <c r="I490" s="538"/>
    </row>
    <row r="491" ht="12.75">
      <c r="I491" s="538"/>
    </row>
    <row r="492" ht="12.75">
      <c r="I492" s="538"/>
    </row>
    <row r="493" ht="12.75">
      <c r="I493" s="538"/>
    </row>
    <row r="494" ht="12.75">
      <c r="I494" s="538"/>
    </row>
    <row r="495" ht="12.75">
      <c r="I495" s="538"/>
    </row>
    <row r="496" ht="12.75">
      <c r="I496" s="538"/>
    </row>
    <row r="497" ht="12.75">
      <c r="I497" s="538"/>
    </row>
    <row r="498" ht="12.75">
      <c r="I498" s="538"/>
    </row>
    <row r="499" ht="12.75">
      <c r="I499" s="538"/>
    </row>
    <row r="500" ht="12.75">
      <c r="I500" s="538"/>
    </row>
    <row r="501" ht="12.75">
      <c r="I501" s="538"/>
    </row>
    <row r="502" ht="12.75">
      <c r="I502" s="538"/>
    </row>
    <row r="503" ht="12.75">
      <c r="I503" s="538"/>
    </row>
    <row r="504" ht="12.75">
      <c r="I504" s="538"/>
    </row>
    <row r="505" ht="12.75">
      <c r="I505" s="538"/>
    </row>
    <row r="506" ht="12.75">
      <c r="I506" s="538"/>
    </row>
    <row r="507" ht="12.75">
      <c r="I507" s="538"/>
    </row>
    <row r="508" ht="12.75">
      <c r="I508" s="538"/>
    </row>
    <row r="509" ht="12.75">
      <c r="I509" s="538"/>
    </row>
    <row r="510" ht="12.75">
      <c r="I510" s="538"/>
    </row>
    <row r="511" ht="12.75">
      <c r="I511" s="538"/>
    </row>
    <row r="512" ht="12.75">
      <c r="I512" s="538"/>
    </row>
    <row r="513" ht="12.75">
      <c r="I513" s="538"/>
    </row>
    <row r="514" ht="12.75">
      <c r="I514" s="538"/>
    </row>
    <row r="515" ht="12.75">
      <c r="I515" s="538"/>
    </row>
    <row r="516" ht="12.75">
      <c r="I516" s="538"/>
    </row>
    <row r="517" ht="12.75">
      <c r="I517" s="538"/>
    </row>
    <row r="518" ht="12.75">
      <c r="I518" s="538"/>
    </row>
    <row r="519" ht="12.75">
      <c r="I519" s="538"/>
    </row>
    <row r="520" ht="12.75">
      <c r="I520" s="538"/>
    </row>
    <row r="521" ht="12.75">
      <c r="I521" s="538"/>
    </row>
    <row r="522" ht="12.75">
      <c r="I522" s="538"/>
    </row>
    <row r="523" ht="12.75">
      <c r="I523" s="538"/>
    </row>
    <row r="524" ht="12.75">
      <c r="I524" s="538"/>
    </row>
    <row r="525" ht="12.75">
      <c r="I525" s="538"/>
    </row>
    <row r="526" ht="12.75">
      <c r="I526" s="538"/>
    </row>
    <row r="527" ht="12.75">
      <c r="I527" s="538"/>
    </row>
    <row r="528" ht="12.75">
      <c r="I528" s="538"/>
    </row>
    <row r="529" ht="12.75">
      <c r="I529" s="538"/>
    </row>
    <row r="530" ht="12.75">
      <c r="I530" s="538"/>
    </row>
    <row r="531" ht="12.75">
      <c r="I531" s="538"/>
    </row>
    <row r="532" ht="12.75">
      <c r="I532" s="538"/>
    </row>
    <row r="533" ht="12.75">
      <c r="I533" s="538"/>
    </row>
    <row r="534" ht="12.75">
      <c r="I534" s="538"/>
    </row>
    <row r="535" ht="12.75">
      <c r="I535" s="538"/>
    </row>
    <row r="536" ht="12.75">
      <c r="I536" s="538"/>
    </row>
    <row r="537" ht="12.75">
      <c r="I537" s="538"/>
    </row>
    <row r="538" ht="12.75">
      <c r="I538" s="538"/>
    </row>
    <row r="539" ht="12.75">
      <c r="I539" s="538"/>
    </row>
    <row r="540" ht="12.75">
      <c r="I540" s="538"/>
    </row>
    <row r="541" ht="12.75">
      <c r="I541" s="538"/>
    </row>
    <row r="542" ht="12.75">
      <c r="I542" s="538"/>
    </row>
    <row r="543" ht="12.75">
      <c r="I543" s="538"/>
    </row>
    <row r="544" ht="12.75">
      <c r="I544" s="538"/>
    </row>
    <row r="545" ht="12.75">
      <c r="I545" s="538"/>
    </row>
    <row r="546" ht="12.75">
      <c r="I546" s="538"/>
    </row>
    <row r="547" ht="12.75">
      <c r="I547" s="538"/>
    </row>
    <row r="548" ht="12.75">
      <c r="I548" s="538"/>
    </row>
    <row r="549" ht="12.75">
      <c r="I549" s="538"/>
    </row>
    <row r="550" ht="12.75">
      <c r="I550" s="538"/>
    </row>
    <row r="551" ht="12.75">
      <c r="I551" s="538"/>
    </row>
    <row r="552" ht="12.75">
      <c r="I552" s="538"/>
    </row>
    <row r="553" ht="12.75">
      <c r="I553" s="538"/>
    </row>
    <row r="554" ht="12.75">
      <c r="I554" s="538"/>
    </row>
    <row r="555" ht="12.75">
      <c r="I555" s="538"/>
    </row>
    <row r="556" ht="12.75">
      <c r="I556" s="538"/>
    </row>
    <row r="557" ht="12.75">
      <c r="I557" s="538"/>
    </row>
    <row r="558" ht="12.75">
      <c r="I558" s="538"/>
    </row>
    <row r="559" ht="12.75">
      <c r="I559" s="538"/>
    </row>
    <row r="560" ht="12.75">
      <c r="I560" s="538"/>
    </row>
    <row r="561" ht="12.75">
      <c r="I561" s="538"/>
    </row>
    <row r="562" ht="12.75">
      <c r="I562" s="538"/>
    </row>
    <row r="563" ht="12.75">
      <c r="I563" s="538"/>
    </row>
    <row r="564" ht="12.75">
      <c r="I564" s="538"/>
    </row>
    <row r="565" ht="12.75">
      <c r="I565" s="538"/>
    </row>
    <row r="566" ht="12.75">
      <c r="I566" s="538"/>
    </row>
    <row r="567" ht="12.75">
      <c r="I567" s="538"/>
    </row>
    <row r="568" ht="12.75">
      <c r="I568" s="538"/>
    </row>
    <row r="569" ht="12.75">
      <c r="I569" s="538"/>
    </row>
    <row r="570" ht="12.75">
      <c r="I570" s="538"/>
    </row>
    <row r="571" ht="12.75">
      <c r="I571" s="538"/>
    </row>
    <row r="572" ht="12.75">
      <c r="I572" s="538"/>
    </row>
    <row r="573" ht="12.75">
      <c r="I573" s="538"/>
    </row>
    <row r="574" ht="12.75">
      <c r="I574" s="538"/>
    </row>
    <row r="575" ht="12.75">
      <c r="I575" s="538"/>
    </row>
    <row r="576" ht="12.75">
      <c r="I576" s="538"/>
    </row>
    <row r="577" ht="12.75">
      <c r="I577" s="538"/>
    </row>
    <row r="578" ht="12.75">
      <c r="I578" s="538"/>
    </row>
    <row r="579" ht="12.75">
      <c r="I579" s="538"/>
    </row>
    <row r="580" ht="12.75">
      <c r="I580" s="538"/>
    </row>
    <row r="581" ht="12.75">
      <c r="I581" s="538"/>
    </row>
    <row r="582" ht="12.75">
      <c r="I582" s="538"/>
    </row>
    <row r="583" ht="12.75">
      <c r="I583" s="538"/>
    </row>
    <row r="584" ht="12.75">
      <c r="I584" s="538"/>
    </row>
    <row r="585" ht="12.75">
      <c r="I585" s="538"/>
    </row>
    <row r="586" ht="12.75">
      <c r="I586" s="538"/>
    </row>
    <row r="587" ht="12.75">
      <c r="I587" s="538"/>
    </row>
    <row r="588" ht="12.75">
      <c r="I588" s="538"/>
    </row>
    <row r="589" ht="12.75">
      <c r="I589" s="538"/>
    </row>
    <row r="590" ht="12.75">
      <c r="I590" s="538"/>
    </row>
    <row r="591" ht="12.75">
      <c r="I591" s="538"/>
    </row>
    <row r="592" ht="12.75">
      <c r="I592" s="538"/>
    </row>
    <row r="593" ht="12.75">
      <c r="I593" s="538"/>
    </row>
    <row r="594" ht="12.75">
      <c r="I594" s="538"/>
    </row>
    <row r="595" ht="12.75">
      <c r="I595" s="538"/>
    </row>
    <row r="596" ht="12.75">
      <c r="I596" s="538"/>
    </row>
    <row r="597" ht="12.75">
      <c r="I597" s="538"/>
    </row>
    <row r="598" ht="12.75">
      <c r="I598" s="538"/>
    </row>
    <row r="599" ht="12.75">
      <c r="I599" s="538"/>
    </row>
    <row r="600" ht="12.75">
      <c r="I600" s="538"/>
    </row>
    <row r="601" ht="12.75">
      <c r="I601" s="538"/>
    </row>
    <row r="602" ht="12.75">
      <c r="I602" s="538"/>
    </row>
    <row r="603" ht="12.75">
      <c r="I603" s="538"/>
    </row>
    <row r="604" ht="12.75">
      <c r="I604" s="538"/>
    </row>
    <row r="605" ht="12.75">
      <c r="I605" s="538"/>
    </row>
    <row r="606" ht="12.75">
      <c r="I606" s="538"/>
    </row>
    <row r="607" ht="12.75">
      <c r="I607" s="538"/>
    </row>
    <row r="608" ht="12.75">
      <c r="I608" s="538"/>
    </row>
    <row r="609" ht="12.75">
      <c r="I609" s="538"/>
    </row>
    <row r="610" ht="12.75">
      <c r="I610" s="538"/>
    </row>
    <row r="611" ht="12.75">
      <c r="I611" s="538"/>
    </row>
    <row r="612" ht="12.75">
      <c r="I612" s="538"/>
    </row>
    <row r="613" ht="12.75">
      <c r="I613" s="538"/>
    </row>
    <row r="614" ht="12.75">
      <c r="I614" s="538"/>
    </row>
    <row r="615" ht="12.75">
      <c r="I615" s="538"/>
    </row>
    <row r="616" ht="12.75">
      <c r="I616" s="538"/>
    </row>
    <row r="617" ht="12.75">
      <c r="I617" s="538"/>
    </row>
    <row r="618" ht="12.75">
      <c r="I618" s="538"/>
    </row>
    <row r="619" ht="12.75">
      <c r="I619" s="538"/>
    </row>
    <row r="620" ht="12.75">
      <c r="I620" s="538"/>
    </row>
    <row r="621" ht="12.75">
      <c r="I621" s="538"/>
    </row>
    <row r="622" ht="12.75">
      <c r="I622" s="538"/>
    </row>
    <row r="623" ht="12.75">
      <c r="I623" s="538"/>
    </row>
    <row r="624" ht="12.75">
      <c r="I624" s="538"/>
    </row>
    <row r="625" ht="12.75">
      <c r="I625" s="538"/>
    </row>
    <row r="626" ht="12.75">
      <c r="I626" s="538"/>
    </row>
    <row r="627" ht="12.75">
      <c r="I627" s="538"/>
    </row>
    <row r="628" ht="12.75">
      <c r="I628" s="538"/>
    </row>
    <row r="629" ht="12.75">
      <c r="I629" s="538"/>
    </row>
    <row r="630" ht="12.75">
      <c r="I630" s="538"/>
    </row>
    <row r="631" ht="12.75">
      <c r="I631" s="538"/>
    </row>
    <row r="632" ht="12.75">
      <c r="I632" s="538"/>
    </row>
    <row r="633" ht="12.75">
      <c r="I633" s="538"/>
    </row>
    <row r="634" ht="12.75">
      <c r="I634" s="538"/>
    </row>
    <row r="635" ht="12.75">
      <c r="I635" s="538"/>
    </row>
    <row r="636" ht="12.75">
      <c r="I636" s="538"/>
    </row>
    <row r="637" ht="12.75">
      <c r="I637" s="538"/>
    </row>
    <row r="638" ht="12.75">
      <c r="I638" s="538"/>
    </row>
    <row r="639" ht="12.75">
      <c r="I639" s="538"/>
    </row>
    <row r="640" ht="12.75">
      <c r="I640" s="538"/>
    </row>
    <row r="641" ht="12.75">
      <c r="I641" s="538"/>
    </row>
    <row r="642" ht="12.75">
      <c r="I642" s="538"/>
    </row>
    <row r="643" ht="12.75">
      <c r="I643" s="538"/>
    </row>
    <row r="644" ht="12.75">
      <c r="I644" s="538"/>
    </row>
    <row r="645" ht="12.75">
      <c r="I645" s="538"/>
    </row>
    <row r="646" ht="12.75">
      <c r="I646" s="538"/>
    </row>
    <row r="647" ht="12.75">
      <c r="I647" s="538"/>
    </row>
    <row r="648" ht="12.75">
      <c r="I648" s="538"/>
    </row>
    <row r="649" ht="12.75">
      <c r="I649" s="538"/>
    </row>
    <row r="650" ht="12.75">
      <c r="I650" s="538"/>
    </row>
    <row r="651" ht="12.75">
      <c r="I651" s="538"/>
    </row>
    <row r="652" ht="12.75">
      <c r="I652" s="538"/>
    </row>
    <row r="653" ht="12.75">
      <c r="I653" s="538"/>
    </row>
    <row r="654" ht="12.75">
      <c r="I654" s="538"/>
    </row>
    <row r="655" ht="12.75">
      <c r="I655" s="538"/>
    </row>
    <row r="656" ht="12.75">
      <c r="I656" s="538"/>
    </row>
    <row r="657" ht="12.75">
      <c r="I657" s="538"/>
    </row>
    <row r="658" ht="12.75">
      <c r="I658" s="538"/>
    </row>
    <row r="659" ht="12.75">
      <c r="I659" s="538"/>
    </row>
    <row r="660" ht="12.75">
      <c r="I660" s="538"/>
    </row>
    <row r="661" ht="12.75">
      <c r="I661" s="538"/>
    </row>
    <row r="662" ht="12.75">
      <c r="I662" s="538"/>
    </row>
    <row r="663" ht="12.75">
      <c r="I663" s="538"/>
    </row>
    <row r="664" ht="12.75">
      <c r="I664" s="538"/>
    </row>
    <row r="665" ht="12.75">
      <c r="I665" s="538"/>
    </row>
    <row r="666" ht="12.75">
      <c r="I666" s="538"/>
    </row>
    <row r="667" ht="12.75">
      <c r="I667" s="538"/>
    </row>
    <row r="668" ht="12.75">
      <c r="I668" s="538"/>
    </row>
    <row r="669" ht="12.75">
      <c r="I669" s="538"/>
    </row>
    <row r="670" ht="12.75">
      <c r="I670" s="538"/>
    </row>
    <row r="671" ht="12.75">
      <c r="I671" s="538"/>
    </row>
    <row r="672" ht="12.75">
      <c r="I672" s="538"/>
    </row>
    <row r="673" ht="12.75">
      <c r="I673" s="538"/>
    </row>
    <row r="674" ht="12.75">
      <c r="I674" s="538"/>
    </row>
    <row r="675" ht="12.75">
      <c r="I675" s="538"/>
    </row>
    <row r="676" ht="12.75">
      <c r="I676" s="538"/>
    </row>
    <row r="677" ht="12.75">
      <c r="I677" s="538"/>
    </row>
    <row r="678" ht="12.75">
      <c r="I678" s="538"/>
    </row>
    <row r="679" ht="12.75">
      <c r="I679" s="538"/>
    </row>
    <row r="680" ht="12.75">
      <c r="I680" s="538"/>
    </row>
    <row r="681" ht="12.75">
      <c r="I681" s="538"/>
    </row>
    <row r="682" ht="12.75">
      <c r="I682" s="538"/>
    </row>
    <row r="683" ht="12.75">
      <c r="I683" s="538"/>
    </row>
    <row r="684" ht="12.75">
      <c r="I684" s="538"/>
    </row>
    <row r="685" ht="12.75">
      <c r="I685" s="538"/>
    </row>
    <row r="686" ht="12.75">
      <c r="I686" s="538"/>
    </row>
    <row r="687" ht="12.75">
      <c r="I687" s="538"/>
    </row>
    <row r="688" ht="12.75">
      <c r="I688" s="538"/>
    </row>
    <row r="689" ht="12.75">
      <c r="I689" s="538"/>
    </row>
    <row r="690" ht="12.75">
      <c r="I690" s="538"/>
    </row>
    <row r="691" ht="12.75">
      <c r="I691" s="538"/>
    </row>
    <row r="692" ht="12.75">
      <c r="I692" s="538"/>
    </row>
    <row r="693" ht="12.75">
      <c r="I693" s="538"/>
    </row>
    <row r="694" ht="12.75">
      <c r="I694" s="538"/>
    </row>
    <row r="695" ht="12.75">
      <c r="I695" s="538"/>
    </row>
    <row r="696" ht="12.75">
      <c r="I696" s="538"/>
    </row>
    <row r="697" ht="12.75">
      <c r="I697" s="538"/>
    </row>
    <row r="698" ht="12.75">
      <c r="I698" s="538"/>
    </row>
    <row r="699" ht="12.75">
      <c r="I699" s="538"/>
    </row>
    <row r="700" ht="12.75">
      <c r="I700" s="538"/>
    </row>
    <row r="701" ht="12.75">
      <c r="I701" s="538"/>
    </row>
    <row r="702" ht="12.75">
      <c r="I702" s="538"/>
    </row>
    <row r="703" ht="12.75">
      <c r="I703" s="538"/>
    </row>
    <row r="704" ht="12.75">
      <c r="I704" s="538"/>
    </row>
    <row r="705" ht="12.75">
      <c r="I705" s="538"/>
    </row>
    <row r="706" ht="12.75">
      <c r="I706" s="538"/>
    </row>
    <row r="707" ht="12.75">
      <c r="I707" s="538"/>
    </row>
    <row r="708" ht="12.75">
      <c r="I708" s="538"/>
    </row>
    <row r="709" ht="12.75">
      <c r="I709" s="538"/>
    </row>
    <row r="710" ht="12.75">
      <c r="I710" s="538"/>
    </row>
    <row r="711" ht="12.75">
      <c r="I711" s="538"/>
    </row>
    <row r="712" ht="12.75">
      <c r="I712" s="538"/>
    </row>
    <row r="713" ht="12.75">
      <c r="I713" s="538"/>
    </row>
    <row r="714" ht="12.75">
      <c r="I714" s="538"/>
    </row>
    <row r="715" ht="12.75">
      <c r="I715" s="538"/>
    </row>
    <row r="716" ht="12.75">
      <c r="I716" s="538"/>
    </row>
    <row r="717" ht="12.75">
      <c r="I717" s="538"/>
    </row>
    <row r="718" ht="12.75">
      <c r="I718" s="538"/>
    </row>
    <row r="719" ht="12.75">
      <c r="I719" s="538"/>
    </row>
    <row r="720" ht="12.75">
      <c r="I720" s="538"/>
    </row>
    <row r="721" ht="12.75">
      <c r="I721" s="538"/>
    </row>
    <row r="722" ht="12.75">
      <c r="I722" s="538"/>
    </row>
    <row r="723" ht="12.75">
      <c r="I723" s="538"/>
    </row>
    <row r="724" ht="12.75">
      <c r="I724" s="538"/>
    </row>
    <row r="725" ht="12.75">
      <c r="I725" s="538"/>
    </row>
    <row r="726" ht="12.75">
      <c r="I726" s="538"/>
    </row>
    <row r="727" ht="12.75">
      <c r="I727" s="538"/>
    </row>
    <row r="728" ht="12.75">
      <c r="I728" s="538"/>
    </row>
    <row r="729" ht="12.75">
      <c r="I729" s="538"/>
    </row>
    <row r="730" ht="12.75">
      <c r="I730" s="538"/>
    </row>
    <row r="731" ht="12.75">
      <c r="I731" s="538"/>
    </row>
    <row r="732" ht="12.75">
      <c r="I732" s="538"/>
    </row>
    <row r="733" ht="12.75">
      <c r="I733" s="538"/>
    </row>
    <row r="734" ht="12.75">
      <c r="I734" s="538"/>
    </row>
    <row r="735" ht="12.75">
      <c r="I735" s="538"/>
    </row>
    <row r="736" ht="12.75">
      <c r="I736" s="538"/>
    </row>
    <row r="737" ht="12.75">
      <c r="I737" s="538"/>
    </row>
    <row r="738" ht="12.75">
      <c r="I738" s="538"/>
    </row>
    <row r="739" ht="12.75">
      <c r="I739" s="538"/>
    </row>
    <row r="740" ht="12.75">
      <c r="I740" s="538"/>
    </row>
    <row r="741" ht="12.75">
      <c r="I741" s="538"/>
    </row>
    <row r="742" ht="12.75">
      <c r="I742" s="538"/>
    </row>
    <row r="743" ht="12.75">
      <c r="I743" s="538"/>
    </row>
    <row r="744" ht="12.75">
      <c r="I744" s="538"/>
    </row>
    <row r="745" ht="12.75">
      <c r="I745" s="538"/>
    </row>
    <row r="746" ht="12.75">
      <c r="I746" s="538"/>
    </row>
    <row r="747" ht="12.75">
      <c r="I747" s="538"/>
    </row>
    <row r="748" ht="12.75">
      <c r="I748" s="538"/>
    </row>
    <row r="749" ht="12.75">
      <c r="I749" s="538"/>
    </row>
    <row r="750" ht="12.75">
      <c r="I750" s="538"/>
    </row>
    <row r="751" ht="12.75">
      <c r="I751" s="538"/>
    </row>
    <row r="752" ht="12.75">
      <c r="I752" s="538"/>
    </row>
    <row r="753" ht="12.75">
      <c r="I753" s="538"/>
    </row>
    <row r="754" ht="12.75">
      <c r="I754" s="538"/>
    </row>
    <row r="755" ht="12.75">
      <c r="I755" s="538"/>
    </row>
    <row r="756" ht="12.75">
      <c r="I756" s="538"/>
    </row>
    <row r="757" ht="12.75">
      <c r="I757" s="538"/>
    </row>
    <row r="758" ht="12.75">
      <c r="I758" s="538"/>
    </row>
    <row r="759" ht="12.75">
      <c r="I759" s="538"/>
    </row>
    <row r="760" ht="12.75">
      <c r="I760" s="538"/>
    </row>
    <row r="761" ht="12.75">
      <c r="I761" s="538"/>
    </row>
    <row r="762" ht="12.75">
      <c r="I762" s="538"/>
    </row>
    <row r="763" ht="12.75">
      <c r="I763" s="538"/>
    </row>
    <row r="764" ht="12.75">
      <c r="I764" s="538"/>
    </row>
    <row r="765" ht="12.75">
      <c r="I765" s="538"/>
    </row>
    <row r="766" ht="12.75">
      <c r="I766" s="538"/>
    </row>
    <row r="767" ht="12.75">
      <c r="I767" s="538"/>
    </row>
    <row r="768" ht="12.75">
      <c r="I768" s="538"/>
    </row>
    <row r="769" ht="12.75">
      <c r="I769" s="538"/>
    </row>
    <row r="770" ht="12.75">
      <c r="I770" s="538"/>
    </row>
    <row r="771" ht="12.75">
      <c r="I771" s="538"/>
    </row>
    <row r="772" ht="12.75">
      <c r="I772" s="538"/>
    </row>
    <row r="773" ht="12.75">
      <c r="I773" s="538"/>
    </row>
    <row r="774" ht="12.75">
      <c r="I774" s="538"/>
    </row>
    <row r="775" ht="12.75">
      <c r="I775" s="538"/>
    </row>
    <row r="776" ht="12.75">
      <c r="I776" s="538"/>
    </row>
    <row r="777" ht="12.75">
      <c r="I777" s="538"/>
    </row>
    <row r="778" ht="12.75">
      <c r="I778" s="538"/>
    </row>
    <row r="779" ht="12.75">
      <c r="I779" s="538"/>
    </row>
    <row r="780" ht="12.75">
      <c r="I780" s="538"/>
    </row>
    <row r="781" ht="12.75">
      <c r="I781" s="538"/>
    </row>
    <row r="782" ht="12.75">
      <c r="I782" s="538"/>
    </row>
    <row r="783" ht="12.75">
      <c r="I783" s="538"/>
    </row>
    <row r="784" ht="12.75">
      <c r="I784" s="538"/>
    </row>
    <row r="785" ht="12.75">
      <c r="I785" s="538"/>
    </row>
    <row r="786" ht="12.75">
      <c r="I786" s="538"/>
    </row>
    <row r="787" ht="12.75">
      <c r="I787" s="538"/>
    </row>
    <row r="788" ht="12.75">
      <c r="I788" s="538"/>
    </row>
    <row r="789" ht="12.75">
      <c r="I789" s="538"/>
    </row>
    <row r="790" ht="12.75">
      <c r="I790" s="538"/>
    </row>
    <row r="791" ht="12.75">
      <c r="I791" s="538"/>
    </row>
    <row r="792" ht="12.75">
      <c r="I792" s="538"/>
    </row>
    <row r="793" ht="12.75">
      <c r="I793" s="538"/>
    </row>
    <row r="794" ht="12.75">
      <c r="I794" s="538"/>
    </row>
    <row r="795" ht="12.75">
      <c r="I795" s="538"/>
    </row>
    <row r="796" ht="12.75">
      <c r="I796" s="538"/>
    </row>
    <row r="797" ht="12.75">
      <c r="I797" s="538"/>
    </row>
    <row r="798" ht="12.75">
      <c r="I798" s="538"/>
    </row>
    <row r="799" ht="12.75">
      <c r="I799" s="538"/>
    </row>
    <row r="800" ht="12.75">
      <c r="I800" s="538"/>
    </row>
    <row r="801" ht="12.75">
      <c r="I801" s="538"/>
    </row>
    <row r="802" ht="12.75">
      <c r="I802" s="538"/>
    </row>
    <row r="803" ht="12.75">
      <c r="I803" s="538"/>
    </row>
    <row r="804" ht="12.75">
      <c r="I804" s="538"/>
    </row>
    <row r="805" ht="12.75">
      <c r="I805" s="538"/>
    </row>
    <row r="806" ht="12.75">
      <c r="I806" s="538"/>
    </row>
    <row r="807" ht="12.75">
      <c r="I807" s="538"/>
    </row>
    <row r="808" ht="12.75">
      <c r="I808" s="538"/>
    </row>
    <row r="809" ht="12.75">
      <c r="I809" s="538"/>
    </row>
    <row r="810" ht="12.75">
      <c r="I810" s="538"/>
    </row>
    <row r="811" ht="12.75">
      <c r="I811" s="538"/>
    </row>
    <row r="812" ht="12.75">
      <c r="I812" s="538"/>
    </row>
    <row r="813" ht="12.75">
      <c r="I813" s="538"/>
    </row>
    <row r="814" ht="12.75">
      <c r="I814" s="538"/>
    </row>
    <row r="815" ht="12.75">
      <c r="I815" s="538"/>
    </row>
    <row r="816" ht="12.75">
      <c r="I816" s="538"/>
    </row>
    <row r="817" ht="12.75">
      <c r="I817" s="538"/>
    </row>
    <row r="818" ht="12.75">
      <c r="I818" s="538"/>
    </row>
    <row r="819" ht="12.75">
      <c r="I819" s="538"/>
    </row>
    <row r="820" ht="12.75">
      <c r="I820" s="538"/>
    </row>
    <row r="821" ht="12.75">
      <c r="I821" s="538"/>
    </row>
    <row r="822" ht="12.75">
      <c r="I822" s="538"/>
    </row>
    <row r="823" ht="12.75">
      <c r="I823" s="538"/>
    </row>
    <row r="824" ht="12.75">
      <c r="I824" s="538"/>
    </row>
    <row r="825" ht="12.75">
      <c r="I825" s="538"/>
    </row>
    <row r="826" ht="12.75">
      <c r="I826" s="538"/>
    </row>
    <row r="827" ht="12.75">
      <c r="I827" s="538"/>
    </row>
    <row r="828" ht="12.75">
      <c r="I828" s="538"/>
    </row>
    <row r="829" ht="12.75">
      <c r="I829" s="538"/>
    </row>
    <row r="830" ht="12.75">
      <c r="I830" s="538"/>
    </row>
    <row r="831" ht="12.75">
      <c r="I831" s="538"/>
    </row>
    <row r="832" ht="12.75">
      <c r="I832" s="538"/>
    </row>
    <row r="833" ht="12.75">
      <c r="I833" s="538"/>
    </row>
    <row r="834" ht="12.75">
      <c r="I834" s="538"/>
    </row>
    <row r="835" ht="12.75">
      <c r="I835" s="538"/>
    </row>
    <row r="836" ht="12.75">
      <c r="I836" s="538"/>
    </row>
    <row r="837" ht="12.75">
      <c r="I837" s="538"/>
    </row>
    <row r="838" ht="12.75">
      <c r="I838" s="538"/>
    </row>
    <row r="839" ht="12.75">
      <c r="I839" s="538"/>
    </row>
    <row r="840" ht="12.75">
      <c r="I840" s="538"/>
    </row>
    <row r="841" ht="12.75">
      <c r="I841" s="538"/>
    </row>
    <row r="842" ht="12.75">
      <c r="I842" s="538"/>
    </row>
    <row r="843" ht="12.75">
      <c r="I843" s="538"/>
    </row>
    <row r="844" ht="12.75">
      <c r="I844" s="538"/>
    </row>
    <row r="845" ht="12.75">
      <c r="I845" s="538"/>
    </row>
    <row r="846" ht="12.75">
      <c r="I846" s="538"/>
    </row>
    <row r="847" ht="12.75">
      <c r="I847" s="538"/>
    </row>
    <row r="848" ht="12.75">
      <c r="I848" s="538"/>
    </row>
    <row r="849" ht="12.75">
      <c r="I849" s="538"/>
    </row>
    <row r="850" ht="12.75">
      <c r="I850" s="538"/>
    </row>
    <row r="851" ht="12.75">
      <c r="I851" s="538"/>
    </row>
    <row r="852" ht="12.75">
      <c r="I852" s="538"/>
    </row>
    <row r="853" ht="12.75">
      <c r="I853" s="538"/>
    </row>
    <row r="854" ht="12.75">
      <c r="I854" s="538"/>
    </row>
    <row r="855" ht="12.75">
      <c r="I855" s="538"/>
    </row>
    <row r="856" ht="12.75">
      <c r="I856" s="538"/>
    </row>
    <row r="857" ht="12.75">
      <c r="I857" s="538"/>
    </row>
    <row r="858" ht="12.75">
      <c r="I858" s="538"/>
    </row>
    <row r="859" ht="12.75">
      <c r="I859" s="538"/>
    </row>
    <row r="860" ht="12.75">
      <c r="I860" s="538"/>
    </row>
    <row r="861" ht="12.75">
      <c r="I861" s="538"/>
    </row>
    <row r="862" ht="12.75">
      <c r="I862" s="538"/>
    </row>
    <row r="863" ht="12.75">
      <c r="I863" s="538"/>
    </row>
    <row r="864" ht="12.75">
      <c r="I864" s="538"/>
    </row>
    <row r="865" ht="12.75">
      <c r="I865" s="538"/>
    </row>
    <row r="866" ht="12.75">
      <c r="I866" s="538"/>
    </row>
    <row r="867" ht="12.75">
      <c r="I867" s="538"/>
    </row>
    <row r="868" ht="12.75">
      <c r="I868" s="538"/>
    </row>
    <row r="869" ht="12.75">
      <c r="I869" s="538"/>
    </row>
    <row r="870" ht="12.75">
      <c r="I870" s="538"/>
    </row>
    <row r="871" ht="12.75">
      <c r="I871" s="538"/>
    </row>
    <row r="872" ht="12.75">
      <c r="I872" s="538"/>
    </row>
    <row r="873" ht="12.75">
      <c r="I873" s="538"/>
    </row>
    <row r="874" ht="12.75">
      <c r="I874" s="538"/>
    </row>
    <row r="875" ht="12.75">
      <c r="I875" s="538"/>
    </row>
    <row r="876" ht="12.75">
      <c r="I876" s="538"/>
    </row>
    <row r="877" ht="12.75">
      <c r="I877" s="538"/>
    </row>
    <row r="878" ht="12.75">
      <c r="I878" s="538"/>
    </row>
    <row r="879" ht="12.75">
      <c r="I879" s="538"/>
    </row>
    <row r="880" ht="12.75">
      <c r="I880" s="538"/>
    </row>
    <row r="881" ht="12.75">
      <c r="I881" s="538"/>
    </row>
    <row r="882" ht="12.75">
      <c r="I882" s="538"/>
    </row>
    <row r="883" ht="12.75">
      <c r="I883" s="538"/>
    </row>
    <row r="884" ht="12.75">
      <c r="I884" s="538"/>
    </row>
    <row r="885" ht="12.75">
      <c r="I885" s="538"/>
    </row>
    <row r="886" ht="12.75">
      <c r="I886" s="538"/>
    </row>
    <row r="887" ht="12.75">
      <c r="I887" s="538"/>
    </row>
    <row r="888" ht="12.75">
      <c r="I888" s="538"/>
    </row>
    <row r="889" ht="12.75">
      <c r="I889" s="538"/>
    </row>
    <row r="890" ht="12.75">
      <c r="I890" s="538"/>
    </row>
    <row r="891" ht="12.75">
      <c r="I891" s="538"/>
    </row>
    <row r="892" ht="12.75">
      <c r="I892" s="538"/>
    </row>
    <row r="893" ht="12.75">
      <c r="I893" s="538"/>
    </row>
    <row r="894" ht="12.75">
      <c r="I894" s="538"/>
    </row>
    <row r="895" ht="12.75">
      <c r="I895" s="538"/>
    </row>
    <row r="896" ht="12.75">
      <c r="I896" s="538"/>
    </row>
    <row r="897" ht="12.75">
      <c r="I897" s="538"/>
    </row>
    <row r="898" ht="12.75">
      <c r="I898" s="538"/>
    </row>
    <row r="899" ht="12.75">
      <c r="I899" s="538"/>
    </row>
    <row r="900" ht="12.75">
      <c r="I900" s="538"/>
    </row>
    <row r="901" ht="12.75">
      <c r="I901" s="538"/>
    </row>
    <row r="902" ht="12.75">
      <c r="I902" s="538"/>
    </row>
    <row r="903" ht="12.75">
      <c r="I903" s="538"/>
    </row>
    <row r="904" ht="12.75">
      <c r="I904" s="538"/>
    </row>
    <row r="905" ht="12.75">
      <c r="I905" s="538"/>
    </row>
    <row r="906" ht="12.75">
      <c r="I906" s="538"/>
    </row>
    <row r="907" ht="12.75">
      <c r="I907" s="538"/>
    </row>
    <row r="908" ht="12.75">
      <c r="I908" s="538"/>
    </row>
    <row r="909" ht="12.75">
      <c r="I909" s="538"/>
    </row>
    <row r="910" ht="12.75">
      <c r="I910" s="538"/>
    </row>
    <row r="911" ht="12.75">
      <c r="I911" s="538"/>
    </row>
    <row r="912" ht="12.75">
      <c r="I912" s="538"/>
    </row>
    <row r="913" ht="12.75">
      <c r="I913" s="538"/>
    </row>
    <row r="914" ht="12.75">
      <c r="I914" s="538"/>
    </row>
    <row r="915" ht="12.75">
      <c r="I915" s="538"/>
    </row>
    <row r="916" ht="12.75">
      <c r="I916" s="538"/>
    </row>
    <row r="917" ht="12.75">
      <c r="I917" s="538"/>
    </row>
    <row r="918" ht="12.75">
      <c r="I918" s="538"/>
    </row>
    <row r="919" ht="12.75">
      <c r="I919" s="538"/>
    </row>
    <row r="920" ht="12.75">
      <c r="I920" s="538"/>
    </row>
    <row r="921" ht="12.75">
      <c r="I921" s="538"/>
    </row>
    <row r="922" ht="12.75">
      <c r="I922" s="538"/>
    </row>
    <row r="923" ht="12.75">
      <c r="I923" s="538"/>
    </row>
    <row r="924" ht="12.75">
      <c r="I924" s="538"/>
    </row>
    <row r="925" ht="12.75">
      <c r="I925" s="538"/>
    </row>
    <row r="926" ht="12.75">
      <c r="I926" s="538"/>
    </row>
    <row r="927" ht="12.75">
      <c r="I927" s="538"/>
    </row>
    <row r="928" ht="12.75">
      <c r="I928" s="538"/>
    </row>
    <row r="929" ht="12.75">
      <c r="I929" s="538"/>
    </row>
    <row r="930" ht="12.75">
      <c r="I930" s="538"/>
    </row>
    <row r="931" ht="12.75">
      <c r="I931" s="538"/>
    </row>
    <row r="932" ht="12.75">
      <c r="I932" s="538"/>
    </row>
    <row r="933" ht="12.75">
      <c r="I933" s="538"/>
    </row>
    <row r="934" ht="12.75">
      <c r="I934" s="538"/>
    </row>
    <row r="935" ht="12.75">
      <c r="I935" s="538"/>
    </row>
    <row r="936" ht="12.75">
      <c r="I936" s="538"/>
    </row>
    <row r="937" ht="12.75">
      <c r="I937" s="538"/>
    </row>
    <row r="938" ht="12.75">
      <c r="I938" s="538"/>
    </row>
    <row r="939" ht="12.75">
      <c r="I939" s="538"/>
    </row>
    <row r="940" ht="12.75">
      <c r="I940" s="538"/>
    </row>
    <row r="941" ht="12.75">
      <c r="I941" s="538"/>
    </row>
    <row r="942" ht="12.75">
      <c r="I942" s="538"/>
    </row>
    <row r="943" ht="12.75">
      <c r="I943" s="538"/>
    </row>
    <row r="944" ht="12.75">
      <c r="I944" s="538"/>
    </row>
    <row r="945" ht="12.75">
      <c r="I945" s="538"/>
    </row>
    <row r="946" ht="12.75">
      <c r="I946" s="538"/>
    </row>
    <row r="947" ht="12.75">
      <c r="I947" s="538"/>
    </row>
    <row r="948" ht="12.75">
      <c r="I948" s="538"/>
    </row>
    <row r="949" ht="12.75">
      <c r="I949" s="538"/>
    </row>
    <row r="950" ht="12.75">
      <c r="I950" s="538"/>
    </row>
    <row r="951" ht="12.75">
      <c r="I951" s="538"/>
    </row>
    <row r="952" ht="12.75">
      <c r="I952" s="538"/>
    </row>
    <row r="953" ht="12.75">
      <c r="I953" s="538"/>
    </row>
    <row r="954" ht="12.75">
      <c r="I954" s="538"/>
    </row>
    <row r="955" ht="12.75">
      <c r="I955" s="538"/>
    </row>
    <row r="956" ht="12.75">
      <c r="I956" s="538"/>
    </row>
    <row r="957" ht="12.75">
      <c r="I957" s="538"/>
    </row>
    <row r="958" ht="12.75">
      <c r="I958" s="538"/>
    </row>
    <row r="959" ht="12.75">
      <c r="I959" s="538"/>
    </row>
    <row r="960" ht="12.75">
      <c r="I960" s="538"/>
    </row>
    <row r="961" ht="12.75">
      <c r="I961" s="538"/>
    </row>
    <row r="962" ht="12.75">
      <c r="I962" s="538"/>
    </row>
    <row r="963" ht="12.75">
      <c r="I963" s="538"/>
    </row>
    <row r="964" ht="12.75">
      <c r="I964" s="538"/>
    </row>
    <row r="965" ht="12.75">
      <c r="I965" s="538"/>
    </row>
    <row r="966" ht="12.75">
      <c r="I966" s="538"/>
    </row>
    <row r="967" ht="12.75">
      <c r="I967" s="538"/>
    </row>
    <row r="968" ht="12.75">
      <c r="I968" s="538"/>
    </row>
    <row r="969" ht="12.75">
      <c r="I969" s="538"/>
    </row>
    <row r="970" ht="12.75">
      <c r="I970" s="538"/>
    </row>
    <row r="971" ht="12.75">
      <c r="I971" s="538"/>
    </row>
    <row r="972" ht="12.75">
      <c r="I972" s="538"/>
    </row>
    <row r="973" ht="12.75">
      <c r="I973" s="538"/>
    </row>
    <row r="974" ht="12.75">
      <c r="I974" s="538"/>
    </row>
    <row r="975" ht="12.75">
      <c r="I975" s="538"/>
    </row>
    <row r="976" ht="12.75">
      <c r="I976" s="538"/>
    </row>
    <row r="977" ht="12.75">
      <c r="I977" s="538"/>
    </row>
    <row r="978" ht="12.75">
      <c r="I978" s="538"/>
    </row>
    <row r="979" ht="12.75">
      <c r="I979" s="538"/>
    </row>
    <row r="980" ht="12.75">
      <c r="I980" s="538"/>
    </row>
    <row r="981" ht="12.75">
      <c r="I981" s="538"/>
    </row>
    <row r="982" ht="12.75">
      <c r="I982" s="538"/>
    </row>
    <row r="983" ht="12.75">
      <c r="I983" s="538"/>
    </row>
    <row r="984" ht="12.75">
      <c r="I984" s="538"/>
    </row>
    <row r="985" ht="12.75">
      <c r="I985" s="538"/>
    </row>
    <row r="986" ht="12.75">
      <c r="I986" s="538"/>
    </row>
    <row r="987" ht="12.75">
      <c r="I987" s="538"/>
    </row>
    <row r="988" ht="12.75">
      <c r="I988" s="538"/>
    </row>
    <row r="989" ht="12.75">
      <c r="I989" s="538"/>
    </row>
    <row r="990" ht="12.75">
      <c r="I990" s="538"/>
    </row>
    <row r="991" ht="12.75">
      <c r="I991" s="538"/>
    </row>
    <row r="992" ht="12.75">
      <c r="I992" s="538"/>
    </row>
    <row r="993" ht="12.75">
      <c r="I993" s="538"/>
    </row>
    <row r="994" ht="12.75">
      <c r="I994" s="538"/>
    </row>
    <row r="995" ht="12.75">
      <c r="I995" s="538"/>
    </row>
    <row r="996" ht="12.75">
      <c r="I996" s="538"/>
    </row>
    <row r="997" ht="12.75">
      <c r="I997" s="538"/>
    </row>
    <row r="998" ht="12.75">
      <c r="I998" s="538"/>
    </row>
    <row r="999" ht="12.75">
      <c r="I999" s="538"/>
    </row>
    <row r="1000" ht="12.75">
      <c r="I1000" s="538"/>
    </row>
    <row r="1001" ht="12.75">
      <c r="I1001" s="538"/>
    </row>
    <row r="1002" ht="12.75">
      <c r="I1002" s="538"/>
    </row>
    <row r="1003" ht="12.75">
      <c r="I1003" s="538"/>
    </row>
    <row r="1004" ht="12.75">
      <c r="I1004" s="538"/>
    </row>
    <row r="1005" ht="12.75">
      <c r="I1005" s="538"/>
    </row>
    <row r="1006" ht="12.75">
      <c r="I1006" s="538"/>
    </row>
    <row r="1007" ht="12.75">
      <c r="I1007" s="538"/>
    </row>
    <row r="1008" ht="12.75">
      <c r="I1008" s="538"/>
    </row>
    <row r="1009" ht="12.75">
      <c r="I1009" s="538"/>
    </row>
    <row r="1010" ht="12.75">
      <c r="I1010" s="538"/>
    </row>
    <row r="1011" ht="12.75">
      <c r="I1011" s="538"/>
    </row>
    <row r="1012" ht="12.75">
      <c r="I1012" s="538"/>
    </row>
    <row r="1013" ht="12.75">
      <c r="I1013" s="538"/>
    </row>
    <row r="1014" ht="12.75">
      <c r="I1014" s="538"/>
    </row>
    <row r="1015" ht="12.75">
      <c r="I1015" s="538"/>
    </row>
    <row r="1016" ht="12.75">
      <c r="I1016" s="538"/>
    </row>
    <row r="1017" ht="12.75">
      <c r="I1017" s="538"/>
    </row>
    <row r="1018" ht="12.75">
      <c r="I1018" s="538"/>
    </row>
    <row r="1019" ht="12.75">
      <c r="I1019" s="538"/>
    </row>
    <row r="1020" ht="12.75">
      <c r="I1020" s="538"/>
    </row>
    <row r="1021" ht="12.75">
      <c r="I1021" s="538"/>
    </row>
    <row r="1022" ht="12.75">
      <c r="I1022" s="538"/>
    </row>
    <row r="1023" ht="12.75">
      <c r="I1023" s="538"/>
    </row>
    <row r="1024" ht="12.75">
      <c r="I1024" s="538"/>
    </row>
    <row r="1025" ht="12.75">
      <c r="I1025" s="538"/>
    </row>
    <row r="1026" ht="12.75">
      <c r="I1026" s="538"/>
    </row>
    <row r="1027" ht="12.75">
      <c r="I1027" s="538"/>
    </row>
    <row r="1028" ht="12.75">
      <c r="I1028" s="538"/>
    </row>
    <row r="1029" ht="12.75">
      <c r="I1029" s="538"/>
    </row>
    <row r="1030" ht="12.75">
      <c r="I1030" s="538"/>
    </row>
    <row r="1031" ht="12.75">
      <c r="I1031" s="538"/>
    </row>
    <row r="1032" ht="12.75">
      <c r="I1032" s="538"/>
    </row>
    <row r="1033" ht="12.75">
      <c r="I1033" s="538"/>
    </row>
    <row r="1034" ht="12.75">
      <c r="I1034" s="538"/>
    </row>
    <row r="1035" ht="12.75">
      <c r="I1035" s="538"/>
    </row>
    <row r="1036" ht="12.75">
      <c r="I1036" s="538"/>
    </row>
    <row r="1037" ht="12.75">
      <c r="I1037" s="538"/>
    </row>
    <row r="1038" ht="12.75">
      <c r="I1038" s="538"/>
    </row>
    <row r="1039" ht="12.75">
      <c r="I1039" s="538"/>
    </row>
    <row r="1040" ht="12.75">
      <c r="I1040" s="538"/>
    </row>
    <row r="1041" ht="12.75">
      <c r="I1041" s="538"/>
    </row>
    <row r="1042" ht="12.75">
      <c r="I1042" s="538"/>
    </row>
    <row r="1043" ht="12.75">
      <c r="I1043" s="538"/>
    </row>
    <row r="1044" ht="12.75">
      <c r="I1044" s="538"/>
    </row>
    <row r="1045" ht="12.75">
      <c r="I1045" s="538"/>
    </row>
    <row r="1046" ht="12.75">
      <c r="I1046" s="538"/>
    </row>
    <row r="1047" ht="12.75">
      <c r="I1047" s="538"/>
    </row>
    <row r="1048" ht="12.75">
      <c r="I1048" s="538"/>
    </row>
    <row r="1049" ht="12.75">
      <c r="I1049" s="538"/>
    </row>
    <row r="1050" ht="12.75">
      <c r="I1050" s="538"/>
    </row>
    <row r="1051" ht="12.75">
      <c r="I1051" s="538"/>
    </row>
    <row r="1052" ht="12.75">
      <c r="I1052" s="538"/>
    </row>
    <row r="1053" ht="12.75">
      <c r="I1053" s="538"/>
    </row>
    <row r="1054" ht="12.75">
      <c r="I1054" s="538"/>
    </row>
    <row r="1055" ht="12.75">
      <c r="I1055" s="538"/>
    </row>
    <row r="1056" ht="12.75">
      <c r="I1056" s="538"/>
    </row>
    <row r="1057" ht="12.75">
      <c r="I1057" s="538"/>
    </row>
    <row r="1058" ht="12.75">
      <c r="I1058" s="538"/>
    </row>
    <row r="1059" ht="12.75">
      <c r="I1059" s="538"/>
    </row>
    <row r="1060" ht="12.75">
      <c r="I1060" s="538"/>
    </row>
    <row r="1061" ht="12.75">
      <c r="I1061" s="538"/>
    </row>
    <row r="1062" ht="12.75">
      <c r="I1062" s="538"/>
    </row>
    <row r="1063" ht="12.75">
      <c r="I1063" s="538"/>
    </row>
    <row r="1064" ht="12.75">
      <c r="I1064" s="538"/>
    </row>
    <row r="1065" ht="12.75">
      <c r="I1065" s="538"/>
    </row>
    <row r="1066" ht="12.75">
      <c r="I1066" s="538"/>
    </row>
    <row r="1067" ht="12.75">
      <c r="I1067" s="538"/>
    </row>
    <row r="1068" ht="12.75">
      <c r="I1068" s="538"/>
    </row>
    <row r="1069" ht="12.75">
      <c r="I1069" s="538"/>
    </row>
    <row r="1070" ht="12.75">
      <c r="I1070" s="538"/>
    </row>
    <row r="1071" ht="12.75">
      <c r="I1071" s="538"/>
    </row>
    <row r="1072" ht="12.75">
      <c r="I1072" s="538"/>
    </row>
    <row r="1073" ht="12.75">
      <c r="I1073" s="538"/>
    </row>
    <row r="1074" ht="12.75">
      <c r="I1074" s="538"/>
    </row>
    <row r="1075" ht="12.75">
      <c r="I1075" s="538"/>
    </row>
    <row r="1076" ht="12.75">
      <c r="I1076" s="538"/>
    </row>
    <row r="1077" ht="12.75">
      <c r="I1077" s="538"/>
    </row>
    <row r="1078" ht="12.75">
      <c r="I1078" s="538"/>
    </row>
    <row r="1079" ht="12.75">
      <c r="I1079" s="538"/>
    </row>
    <row r="1080" ht="12.75">
      <c r="I1080" s="538"/>
    </row>
    <row r="1081" ht="12.75">
      <c r="I1081" s="538"/>
    </row>
    <row r="1082" ht="12.75">
      <c r="I1082" s="538"/>
    </row>
    <row r="1083" ht="12.75">
      <c r="I1083" s="538"/>
    </row>
    <row r="1084" ht="12.75">
      <c r="I1084" s="538"/>
    </row>
    <row r="1085" ht="12.75">
      <c r="I1085" s="538"/>
    </row>
    <row r="1086" ht="12.75">
      <c r="I1086" s="538"/>
    </row>
    <row r="1087" ht="12.75">
      <c r="I1087" s="538"/>
    </row>
    <row r="1088" ht="12.75">
      <c r="I1088" s="538"/>
    </row>
    <row r="1089" ht="12.75">
      <c r="I1089" s="538"/>
    </row>
    <row r="1090" ht="12.75">
      <c r="I1090" s="538"/>
    </row>
    <row r="1091" ht="12.75">
      <c r="I1091" s="538"/>
    </row>
    <row r="1092" ht="12.75">
      <c r="I1092" s="538"/>
    </row>
    <row r="1093" ht="12.75">
      <c r="I1093" s="538"/>
    </row>
    <row r="1094" ht="12.75">
      <c r="I1094" s="538"/>
    </row>
    <row r="1095" ht="12.75">
      <c r="I1095" s="538"/>
    </row>
    <row r="1096" ht="12.75">
      <c r="I1096" s="538"/>
    </row>
    <row r="1097" ht="12.75">
      <c r="I1097" s="538"/>
    </row>
    <row r="1098" ht="12.75">
      <c r="I1098" s="538"/>
    </row>
    <row r="1099" ht="12.75">
      <c r="I1099" s="538"/>
    </row>
    <row r="1100" ht="12.75">
      <c r="I1100" s="538"/>
    </row>
    <row r="1101" ht="12.75">
      <c r="I1101" s="538"/>
    </row>
    <row r="1102" ht="12.75">
      <c r="I1102" s="538"/>
    </row>
    <row r="1103" ht="12.75">
      <c r="I1103" s="538"/>
    </row>
    <row r="1104" ht="12.75">
      <c r="I1104" s="538"/>
    </row>
    <row r="1105" ht="12.75">
      <c r="I1105" s="538"/>
    </row>
    <row r="1106" ht="12.75">
      <c r="I1106" s="538"/>
    </row>
    <row r="1107" ht="12.75">
      <c r="I1107" s="538"/>
    </row>
    <row r="1108" ht="12.75">
      <c r="I1108" s="538"/>
    </row>
    <row r="1109" ht="12.75">
      <c r="I1109" s="538"/>
    </row>
    <row r="1110" ht="12.75">
      <c r="I1110" s="538"/>
    </row>
    <row r="1111" ht="12.75">
      <c r="I1111" s="538"/>
    </row>
    <row r="1112" ht="12.75">
      <c r="I1112" s="538"/>
    </row>
    <row r="1113" ht="12.75">
      <c r="I1113" s="538"/>
    </row>
    <row r="1114" ht="12.75">
      <c r="I1114" s="538"/>
    </row>
    <row r="1115" ht="12.75">
      <c r="I1115" s="538"/>
    </row>
    <row r="1116" ht="12.75">
      <c r="I1116" s="538"/>
    </row>
    <row r="1117" ht="12.75">
      <c r="I1117" s="538"/>
    </row>
    <row r="1118" ht="12.75">
      <c r="I1118" s="538"/>
    </row>
    <row r="1119" ht="12.75">
      <c r="I1119" s="538"/>
    </row>
    <row r="1120" ht="12.75">
      <c r="I1120" s="538"/>
    </row>
    <row r="1121" ht="12.75">
      <c r="I1121" s="538"/>
    </row>
    <row r="1122" ht="12.75">
      <c r="I1122" s="538"/>
    </row>
    <row r="1123" ht="12.75">
      <c r="I1123" s="538"/>
    </row>
    <row r="1124" ht="12.75">
      <c r="I1124" s="538"/>
    </row>
    <row r="1125" ht="12.75">
      <c r="I1125" s="538"/>
    </row>
    <row r="1126" ht="12.75">
      <c r="I1126" s="538"/>
    </row>
    <row r="1127" ht="12.75">
      <c r="I1127" s="538"/>
    </row>
    <row r="1128" ht="12.75">
      <c r="I1128" s="538"/>
    </row>
    <row r="1129" ht="12.75">
      <c r="I1129" s="538"/>
    </row>
    <row r="1130" ht="12.75">
      <c r="I1130" s="538"/>
    </row>
    <row r="1131" ht="12.75">
      <c r="I1131" s="538"/>
    </row>
    <row r="1132" ht="12.75">
      <c r="I1132" s="538"/>
    </row>
    <row r="1133" ht="12.75">
      <c r="I1133" s="538"/>
    </row>
    <row r="1134" ht="12.75">
      <c r="I1134" s="538"/>
    </row>
    <row r="1135" ht="12.75">
      <c r="I1135" s="538"/>
    </row>
    <row r="1136" ht="12.75">
      <c r="I1136" s="538"/>
    </row>
    <row r="1137" ht="12.75">
      <c r="I1137" s="538"/>
    </row>
    <row r="1138" ht="12.75">
      <c r="I1138" s="538"/>
    </row>
    <row r="1139" ht="12.75">
      <c r="I1139" s="538"/>
    </row>
    <row r="1140" ht="12.75">
      <c r="I1140" s="538"/>
    </row>
    <row r="1141" ht="12.75">
      <c r="I1141" s="538"/>
    </row>
    <row r="1142" ht="12.75">
      <c r="I1142" s="538"/>
    </row>
    <row r="1143" ht="12.75">
      <c r="I1143" s="538"/>
    </row>
    <row r="1144" ht="12.75">
      <c r="I1144" s="538"/>
    </row>
    <row r="1145" ht="12.75">
      <c r="I1145" s="538"/>
    </row>
    <row r="1146" ht="12.75">
      <c r="I1146" s="538"/>
    </row>
    <row r="1147" ht="12.75">
      <c r="I1147" s="538"/>
    </row>
    <row r="1148" ht="12.75">
      <c r="I1148" s="538"/>
    </row>
    <row r="1149" ht="12.75">
      <c r="I1149" s="538"/>
    </row>
    <row r="1150" ht="12.75">
      <c r="I1150" s="538"/>
    </row>
    <row r="1151" ht="12.75">
      <c r="I1151" s="538"/>
    </row>
    <row r="1152" ht="12.75">
      <c r="I1152" s="538"/>
    </row>
    <row r="1153" ht="12.75">
      <c r="I1153" s="538"/>
    </row>
    <row r="1154" ht="12.75">
      <c r="I1154" s="538"/>
    </row>
    <row r="1155" ht="12.75">
      <c r="I1155" s="538"/>
    </row>
    <row r="1156" ht="12.75">
      <c r="I1156" s="538"/>
    </row>
    <row r="1157" ht="12.75">
      <c r="I1157" s="538"/>
    </row>
    <row r="1158" ht="12.75">
      <c r="I1158" s="538"/>
    </row>
    <row r="1159" ht="12.75">
      <c r="I1159" s="538"/>
    </row>
    <row r="1160" ht="12.75">
      <c r="I1160" s="538"/>
    </row>
    <row r="1161" ht="12.75">
      <c r="I1161" s="538"/>
    </row>
    <row r="1162" ht="12.75">
      <c r="I1162" s="538"/>
    </row>
    <row r="1163" ht="12.75">
      <c r="I1163" s="538"/>
    </row>
    <row r="1164" ht="12.75">
      <c r="I1164" s="538"/>
    </row>
    <row r="1165" ht="12.75">
      <c r="I1165" s="538"/>
    </row>
    <row r="1166" ht="12.75">
      <c r="I1166" s="538"/>
    </row>
    <row r="1167" ht="12.75">
      <c r="I1167" s="538"/>
    </row>
    <row r="1168" ht="12.75">
      <c r="I1168" s="538"/>
    </row>
    <row r="1169" ht="12.75">
      <c r="I1169" s="538"/>
    </row>
    <row r="1170" ht="12.75">
      <c r="I1170" s="538"/>
    </row>
    <row r="1171" ht="12.75">
      <c r="I1171" s="538"/>
    </row>
    <row r="1172" ht="12.75">
      <c r="I1172" s="538"/>
    </row>
    <row r="1173" ht="12.75">
      <c r="I1173" s="538"/>
    </row>
    <row r="1174" ht="12.75">
      <c r="I1174" s="538"/>
    </row>
    <row r="1175" ht="12.75">
      <c r="I1175" s="538"/>
    </row>
    <row r="1176" ht="12.75">
      <c r="I1176" s="538"/>
    </row>
    <row r="1177" ht="12.75">
      <c r="I1177" s="538"/>
    </row>
    <row r="1178" ht="12.75">
      <c r="I1178" s="538"/>
    </row>
    <row r="1179" ht="12.75">
      <c r="I1179" s="538"/>
    </row>
    <row r="1180" ht="12.75">
      <c r="I1180" s="538"/>
    </row>
    <row r="1181" ht="12.75">
      <c r="I1181" s="538"/>
    </row>
    <row r="1182" ht="12.75">
      <c r="I1182" s="538"/>
    </row>
    <row r="1183" ht="12.75">
      <c r="I1183" s="538"/>
    </row>
    <row r="1184" ht="12.75">
      <c r="I1184" s="538"/>
    </row>
    <row r="1185" ht="12.75">
      <c r="I1185" s="538"/>
    </row>
    <row r="1186" ht="12.75">
      <c r="I1186" s="538"/>
    </row>
    <row r="1187" ht="12.75">
      <c r="I1187" s="538"/>
    </row>
    <row r="1188" ht="12.75">
      <c r="I1188" s="538"/>
    </row>
    <row r="1189" ht="12.75">
      <c r="I1189" s="538"/>
    </row>
    <row r="1190" ht="12.75">
      <c r="I1190" s="538"/>
    </row>
    <row r="1191" ht="12.75">
      <c r="I1191" s="538"/>
    </row>
    <row r="1192" ht="12.75">
      <c r="I1192" s="538"/>
    </row>
    <row r="1193" ht="12.75">
      <c r="I1193" s="538"/>
    </row>
    <row r="1194" ht="12.75">
      <c r="I1194" s="538"/>
    </row>
    <row r="1195" ht="12.75">
      <c r="I1195" s="538"/>
    </row>
    <row r="1196" ht="12.75">
      <c r="I1196" s="538"/>
    </row>
    <row r="1197" ht="12.75">
      <c r="I1197" s="538"/>
    </row>
    <row r="1198" ht="12.75">
      <c r="I1198" s="538"/>
    </row>
    <row r="1199" ht="12.75">
      <c r="I1199" s="538"/>
    </row>
    <row r="1200" ht="12.75">
      <c r="I1200" s="538"/>
    </row>
    <row r="1201" ht="12.75">
      <c r="I1201" s="538"/>
    </row>
    <row r="1202" ht="12.75">
      <c r="I1202" s="538"/>
    </row>
    <row r="1203" ht="12.75">
      <c r="I1203" s="538"/>
    </row>
    <row r="1204" ht="12.75">
      <c r="I1204" s="538"/>
    </row>
    <row r="1205" ht="12.75">
      <c r="I1205" s="538"/>
    </row>
    <row r="1206" ht="12.75">
      <c r="I1206" s="538"/>
    </row>
    <row r="1207" ht="12.75">
      <c r="I1207" s="538"/>
    </row>
    <row r="1208" ht="12.75">
      <c r="I1208" s="538"/>
    </row>
    <row r="1209" ht="12.75">
      <c r="I1209" s="538"/>
    </row>
    <row r="1210" ht="12.75">
      <c r="I1210" s="538"/>
    </row>
    <row r="1211" ht="12.75">
      <c r="I1211" s="538"/>
    </row>
    <row r="1212" ht="12.75">
      <c r="I1212" s="538"/>
    </row>
    <row r="1213" ht="12.75">
      <c r="I1213" s="538"/>
    </row>
    <row r="1214" ht="12.75">
      <c r="I1214" s="538"/>
    </row>
    <row r="1215" ht="12.75">
      <c r="I1215" s="538"/>
    </row>
    <row r="1216" ht="12.75">
      <c r="I1216" s="538"/>
    </row>
    <row r="1217" ht="12.75">
      <c r="I1217" s="538"/>
    </row>
    <row r="1218" ht="12.75">
      <c r="I1218" s="538"/>
    </row>
    <row r="1219" ht="12.75">
      <c r="I1219" s="538"/>
    </row>
    <row r="1220" ht="12.75">
      <c r="I1220" s="538"/>
    </row>
    <row r="1221" ht="12.75">
      <c r="I1221" s="538"/>
    </row>
    <row r="1222" ht="12.75">
      <c r="I1222" s="538"/>
    </row>
    <row r="1223" ht="12.75">
      <c r="I1223" s="538"/>
    </row>
    <row r="1224" ht="12.75">
      <c r="I1224" s="538"/>
    </row>
    <row r="1225" ht="12.75">
      <c r="I1225" s="538"/>
    </row>
    <row r="1226" ht="12.75">
      <c r="I1226" s="538"/>
    </row>
    <row r="1227" ht="12.75">
      <c r="I1227" s="538"/>
    </row>
    <row r="1228" ht="12.75">
      <c r="I1228" s="538"/>
    </row>
    <row r="1229" ht="12.75">
      <c r="I1229" s="538"/>
    </row>
    <row r="1230" ht="12.75">
      <c r="I1230" s="538"/>
    </row>
    <row r="1231" ht="12.75">
      <c r="I1231" s="538"/>
    </row>
    <row r="1232" ht="12.75">
      <c r="I1232" s="538"/>
    </row>
    <row r="1233" ht="12.75">
      <c r="I1233" s="538"/>
    </row>
    <row r="1234" ht="12.75">
      <c r="I1234" s="538"/>
    </row>
    <row r="1235" ht="12.75">
      <c r="I1235" s="538"/>
    </row>
    <row r="1236" ht="12.75">
      <c r="I1236" s="538"/>
    </row>
    <row r="1237" ht="12.75">
      <c r="I1237" s="538"/>
    </row>
    <row r="1238" ht="12.75">
      <c r="I1238" s="538"/>
    </row>
    <row r="1239" ht="12.75">
      <c r="I1239" s="538"/>
    </row>
    <row r="1240" ht="12.75">
      <c r="I1240" s="538"/>
    </row>
    <row r="1241" ht="12.75">
      <c r="I1241" s="538"/>
    </row>
    <row r="1242" ht="12.75">
      <c r="I1242" s="538"/>
    </row>
    <row r="1243" ht="12.75">
      <c r="I1243" s="538"/>
    </row>
    <row r="1244" ht="12.75">
      <c r="I1244" s="538"/>
    </row>
    <row r="1245" ht="12.75">
      <c r="I1245" s="538"/>
    </row>
    <row r="1246" ht="12.75">
      <c r="I1246" s="538"/>
    </row>
    <row r="1247" ht="12.75">
      <c r="I1247" s="538"/>
    </row>
    <row r="1248" ht="12.75">
      <c r="I1248" s="538"/>
    </row>
    <row r="1249" ht="12.75">
      <c r="I1249" s="538"/>
    </row>
    <row r="1250" ht="12.75">
      <c r="I1250" s="538"/>
    </row>
    <row r="1251" ht="12.75">
      <c r="I1251" s="538"/>
    </row>
    <row r="1252" ht="12.75">
      <c r="I1252" s="538"/>
    </row>
    <row r="1253" ht="12.75">
      <c r="I1253" s="538"/>
    </row>
    <row r="1254" ht="12.75">
      <c r="I1254" s="538"/>
    </row>
    <row r="1255" ht="12.75">
      <c r="I1255" s="538"/>
    </row>
    <row r="1256" ht="12.75">
      <c r="I1256" s="538"/>
    </row>
    <row r="1257" ht="12.75">
      <c r="I1257" s="538"/>
    </row>
    <row r="1258" ht="12.75">
      <c r="I1258" s="538"/>
    </row>
    <row r="1259" ht="12.75">
      <c r="I1259" s="538"/>
    </row>
    <row r="1260" ht="12.75">
      <c r="I1260" s="538"/>
    </row>
    <row r="1261" ht="12.75">
      <c r="I1261" s="538"/>
    </row>
    <row r="1262" ht="12.75">
      <c r="I1262" s="538"/>
    </row>
    <row r="1263" ht="12.75">
      <c r="I1263" s="538"/>
    </row>
    <row r="1264" ht="12.75">
      <c r="I1264" s="538"/>
    </row>
    <row r="1265" ht="12.75">
      <c r="I1265" s="538"/>
    </row>
    <row r="1266" ht="12.75">
      <c r="I1266" s="538"/>
    </row>
    <row r="1267" ht="12.75">
      <c r="I1267" s="538"/>
    </row>
    <row r="1268" ht="12.75">
      <c r="I1268" s="538"/>
    </row>
    <row r="1269" ht="12.75">
      <c r="I1269" s="538"/>
    </row>
    <row r="1270" ht="12.75">
      <c r="I1270" s="538"/>
    </row>
    <row r="1271" ht="12.75">
      <c r="I1271" s="538"/>
    </row>
    <row r="1272" ht="12.75">
      <c r="I1272" s="538"/>
    </row>
    <row r="1273" ht="12.75">
      <c r="I1273" s="538"/>
    </row>
    <row r="1274" ht="12.75">
      <c r="I1274" s="538"/>
    </row>
    <row r="1275" ht="12.75">
      <c r="I1275" s="538"/>
    </row>
    <row r="1276" ht="12.75">
      <c r="I1276" s="538"/>
    </row>
    <row r="1277" ht="12.75">
      <c r="I1277" s="538"/>
    </row>
    <row r="1278" ht="12.75">
      <c r="I1278" s="538"/>
    </row>
    <row r="1279" ht="12.75">
      <c r="I1279" s="538"/>
    </row>
    <row r="1280" ht="12.75">
      <c r="I1280" s="538"/>
    </row>
    <row r="1281" ht="12.75">
      <c r="I1281" s="538"/>
    </row>
    <row r="1282" ht="12.75">
      <c r="I1282" s="538"/>
    </row>
    <row r="1283" ht="12.75">
      <c r="I1283" s="538"/>
    </row>
    <row r="1284" ht="12.75">
      <c r="I1284" s="538"/>
    </row>
    <row r="1285" ht="12.75">
      <c r="I1285" s="538"/>
    </row>
    <row r="1286" ht="12.75">
      <c r="I1286" s="538"/>
    </row>
    <row r="1287" ht="12.75">
      <c r="I1287" s="538"/>
    </row>
    <row r="1288" ht="12.75">
      <c r="I1288" s="538"/>
    </row>
    <row r="1289" ht="12.75">
      <c r="I1289" s="538"/>
    </row>
    <row r="1290" ht="12.75">
      <c r="I1290" s="538"/>
    </row>
    <row r="1291" ht="12.75">
      <c r="I1291" s="538"/>
    </row>
    <row r="1292" ht="12.75">
      <c r="I1292" s="538"/>
    </row>
    <row r="1293" ht="12.75">
      <c r="I1293" s="538"/>
    </row>
    <row r="1294" ht="12.75">
      <c r="I1294" s="538"/>
    </row>
    <row r="1295" ht="12.75">
      <c r="I1295" s="538"/>
    </row>
    <row r="1296" ht="12.75">
      <c r="I1296" s="538"/>
    </row>
    <row r="1297" ht="12.75">
      <c r="I1297" s="538"/>
    </row>
    <row r="1298" ht="12.75">
      <c r="I1298" s="538"/>
    </row>
    <row r="1299" ht="12.75">
      <c r="I1299" s="538"/>
    </row>
    <row r="1300" ht="12.75">
      <c r="I1300" s="538"/>
    </row>
    <row r="1301" ht="12.75">
      <c r="I1301" s="538"/>
    </row>
    <row r="1302" ht="12.75">
      <c r="I1302" s="538"/>
    </row>
    <row r="1303" ht="12.75">
      <c r="I1303" s="538"/>
    </row>
    <row r="1304" ht="12.75">
      <c r="I1304" s="538"/>
    </row>
    <row r="1305" ht="12.75">
      <c r="I1305" s="538"/>
    </row>
    <row r="1306" ht="12.75">
      <c r="I1306" s="538"/>
    </row>
    <row r="1307" ht="12.75">
      <c r="I1307" s="538"/>
    </row>
    <row r="1308" ht="12.75">
      <c r="I1308" s="538"/>
    </row>
    <row r="1309" ht="12.75">
      <c r="I1309" s="538"/>
    </row>
    <row r="1310" ht="12.75">
      <c r="I1310" s="538"/>
    </row>
    <row r="1311" ht="12.75">
      <c r="I1311" s="538"/>
    </row>
    <row r="1312" ht="12.75">
      <c r="I1312" s="538"/>
    </row>
    <row r="1313" ht="12.75">
      <c r="I1313" s="538"/>
    </row>
    <row r="1314" ht="12.75">
      <c r="I1314" s="538"/>
    </row>
    <row r="1315" ht="12.75">
      <c r="I1315" s="538"/>
    </row>
    <row r="1316" ht="12.75">
      <c r="I1316" s="538"/>
    </row>
    <row r="1317" ht="12.75">
      <c r="I1317" s="538"/>
    </row>
    <row r="1318" ht="12.75">
      <c r="I1318" s="538"/>
    </row>
    <row r="1319" ht="12.75">
      <c r="I1319" s="538"/>
    </row>
    <row r="1320" ht="12.75">
      <c r="I1320" s="538"/>
    </row>
    <row r="1321" ht="12.75">
      <c r="I1321" s="538"/>
    </row>
    <row r="1322" ht="12.75">
      <c r="I1322" s="538"/>
    </row>
    <row r="1323" ht="12.75">
      <c r="I1323" s="538"/>
    </row>
    <row r="1324" ht="12.75">
      <c r="I1324" s="538"/>
    </row>
    <row r="1325" ht="12.75">
      <c r="I1325" s="538"/>
    </row>
    <row r="1326" ht="12.75">
      <c r="I1326" s="538"/>
    </row>
    <row r="1327" ht="12.75">
      <c r="I1327" s="538"/>
    </row>
    <row r="1328" ht="12.75">
      <c r="I1328" s="538"/>
    </row>
    <row r="1329" ht="12.75">
      <c r="I1329" s="538"/>
    </row>
    <row r="1330" ht="12.75">
      <c r="I1330" s="538"/>
    </row>
    <row r="1331" ht="12.75">
      <c r="I1331" s="538"/>
    </row>
    <row r="1332" ht="12.75">
      <c r="I1332" s="538"/>
    </row>
    <row r="1333" ht="12.75">
      <c r="I1333" s="538"/>
    </row>
    <row r="1334" ht="12.75">
      <c r="I1334" s="538"/>
    </row>
    <row r="1335" ht="12.75">
      <c r="I1335" s="538"/>
    </row>
    <row r="1336" ht="12.75">
      <c r="I1336" s="538"/>
    </row>
    <row r="1337" ht="12.75">
      <c r="I1337" s="538"/>
    </row>
    <row r="1338" ht="12.75">
      <c r="I1338" s="538"/>
    </row>
    <row r="1339" ht="12.75">
      <c r="I1339" s="538"/>
    </row>
    <row r="1340" ht="12.75">
      <c r="I1340" s="538"/>
    </row>
    <row r="1341" ht="12.75">
      <c r="I1341" s="538"/>
    </row>
    <row r="1342" ht="12.75">
      <c r="I1342" s="538"/>
    </row>
    <row r="1343" ht="12.75">
      <c r="I1343" s="538"/>
    </row>
    <row r="1344" ht="12.75">
      <c r="I1344" s="538"/>
    </row>
    <row r="1345" ht="12.75">
      <c r="I1345" s="538"/>
    </row>
    <row r="1346" ht="12.75">
      <c r="I1346" s="538"/>
    </row>
    <row r="1347" ht="12.75">
      <c r="I1347" s="538"/>
    </row>
    <row r="1348" ht="12.75">
      <c r="I1348" s="538"/>
    </row>
    <row r="1349" ht="12.75">
      <c r="I1349" s="538"/>
    </row>
    <row r="1350" ht="12.75">
      <c r="I1350" s="538"/>
    </row>
    <row r="1351" ht="12.75">
      <c r="I1351" s="538"/>
    </row>
    <row r="1352" ht="12.75">
      <c r="I1352" s="538"/>
    </row>
    <row r="1353" ht="12.75">
      <c r="I1353" s="538"/>
    </row>
    <row r="1354" ht="12.75">
      <c r="I1354" s="538"/>
    </row>
    <row r="1355" ht="12.75">
      <c r="I1355" s="538"/>
    </row>
    <row r="1356" ht="12.75">
      <c r="I1356" s="538"/>
    </row>
    <row r="1357" ht="12.75">
      <c r="I1357" s="538"/>
    </row>
    <row r="1358" ht="12.75">
      <c r="I1358" s="538"/>
    </row>
    <row r="1359" ht="12.75">
      <c r="I1359" s="538"/>
    </row>
    <row r="1360" ht="12.75">
      <c r="I1360" s="538"/>
    </row>
    <row r="1361" ht="12.75">
      <c r="I1361" s="538"/>
    </row>
    <row r="1362" ht="12.75">
      <c r="I1362" s="538"/>
    </row>
    <row r="1363" ht="12.75">
      <c r="I1363" s="538"/>
    </row>
    <row r="1364" ht="12.75">
      <c r="I1364" s="538"/>
    </row>
    <row r="1365" ht="12.75">
      <c r="I1365" s="538"/>
    </row>
    <row r="1366" ht="12.75">
      <c r="I1366" s="538"/>
    </row>
    <row r="1367" ht="12.75">
      <c r="I1367" s="538"/>
    </row>
    <row r="1368" ht="12.75">
      <c r="I1368" s="538"/>
    </row>
    <row r="1369" ht="12.75">
      <c r="I1369" s="538"/>
    </row>
    <row r="1370" ht="12.75">
      <c r="I1370" s="538"/>
    </row>
    <row r="1371" ht="12.75">
      <c r="I1371" s="538"/>
    </row>
    <row r="1372" ht="12.75">
      <c r="I1372" s="538"/>
    </row>
    <row r="1373" ht="12.75">
      <c r="I1373" s="538"/>
    </row>
    <row r="1374" ht="12.75">
      <c r="I1374" s="538"/>
    </row>
    <row r="1375" ht="12.75">
      <c r="I1375" s="538"/>
    </row>
    <row r="1376" ht="12.75">
      <c r="I1376" s="538"/>
    </row>
    <row r="1377" ht="12.75">
      <c r="I1377" s="538"/>
    </row>
    <row r="1378" ht="12.75">
      <c r="I1378" s="538"/>
    </row>
    <row r="1379" ht="12.75">
      <c r="I1379" s="538"/>
    </row>
    <row r="1380" ht="12.75">
      <c r="I1380" s="538"/>
    </row>
    <row r="1381" ht="12.75">
      <c r="I1381" s="538"/>
    </row>
    <row r="1382" ht="12.75">
      <c r="I1382" s="538"/>
    </row>
    <row r="1383" ht="12.75">
      <c r="I1383" s="538"/>
    </row>
    <row r="1384" ht="12.75">
      <c r="I1384" s="538"/>
    </row>
    <row r="1385" ht="12.75">
      <c r="I1385" s="538"/>
    </row>
    <row r="1386" ht="12.75">
      <c r="I1386" s="538"/>
    </row>
    <row r="1387" ht="12.75">
      <c r="I1387" s="538"/>
    </row>
    <row r="1388" ht="12.75">
      <c r="I1388" s="538"/>
    </row>
    <row r="1389" ht="12.75">
      <c r="I1389" s="538"/>
    </row>
    <row r="1390" ht="12.75">
      <c r="I1390" s="538"/>
    </row>
    <row r="1391" ht="12.75">
      <c r="I1391" s="538"/>
    </row>
    <row r="1392" ht="12.75">
      <c r="I1392" s="538"/>
    </row>
    <row r="1393" ht="12.75">
      <c r="I1393" s="538"/>
    </row>
    <row r="1394" ht="12.75">
      <c r="I1394" s="538"/>
    </row>
    <row r="1395" ht="12.75">
      <c r="I1395" s="538"/>
    </row>
    <row r="1396" ht="12.75">
      <c r="I1396" s="538"/>
    </row>
    <row r="1397" ht="12.75">
      <c r="I1397" s="538"/>
    </row>
    <row r="1398" ht="12.75">
      <c r="I1398" s="538"/>
    </row>
    <row r="1399" ht="12.75">
      <c r="I1399" s="538"/>
    </row>
    <row r="1400" ht="12.75">
      <c r="I1400" s="538"/>
    </row>
    <row r="1401" ht="12.75">
      <c r="I1401" s="538"/>
    </row>
    <row r="1402" ht="12.75">
      <c r="I1402" s="538"/>
    </row>
    <row r="1403" ht="12.75">
      <c r="I1403" s="538"/>
    </row>
    <row r="1404" ht="12.75">
      <c r="I1404" s="538"/>
    </row>
    <row r="1405" ht="12.75">
      <c r="I1405" s="538"/>
    </row>
    <row r="1406" ht="12.75">
      <c r="I1406" s="538"/>
    </row>
    <row r="1407" ht="12.75">
      <c r="I1407" s="538"/>
    </row>
    <row r="1408" ht="12.75">
      <c r="I1408" s="538"/>
    </row>
    <row r="1409" ht="12.75">
      <c r="I1409" s="538"/>
    </row>
    <row r="1410" ht="12.75">
      <c r="I1410" s="538"/>
    </row>
    <row r="1411" ht="12.75">
      <c r="I1411" s="538"/>
    </row>
    <row r="1412" ht="12.75">
      <c r="I1412" s="538"/>
    </row>
    <row r="1413" ht="12.75">
      <c r="I1413" s="538"/>
    </row>
    <row r="1414" ht="12.75">
      <c r="I1414" s="538"/>
    </row>
    <row r="1415" ht="12.75">
      <c r="I1415" s="538"/>
    </row>
    <row r="1416" ht="12.75">
      <c r="I1416" s="538"/>
    </row>
    <row r="1417" ht="12.75">
      <c r="I1417" s="538"/>
    </row>
    <row r="1418" ht="12.75">
      <c r="I1418" s="538"/>
    </row>
    <row r="1419" ht="12.75">
      <c r="I1419" s="538"/>
    </row>
    <row r="1420" ht="12.75">
      <c r="I1420" s="538"/>
    </row>
    <row r="1421" ht="12.75">
      <c r="I1421" s="538"/>
    </row>
    <row r="1422" ht="12.75">
      <c r="I1422" s="538"/>
    </row>
    <row r="1423" ht="12.75">
      <c r="I1423" s="538"/>
    </row>
    <row r="1424" ht="12.75">
      <c r="I1424" s="538"/>
    </row>
    <row r="1425" ht="12.75">
      <c r="I1425" s="538"/>
    </row>
    <row r="1426" ht="12.75">
      <c r="I1426" s="538"/>
    </row>
    <row r="1427" ht="12.75">
      <c r="I1427" s="538"/>
    </row>
    <row r="1428" ht="12.75">
      <c r="I1428" s="538"/>
    </row>
    <row r="1429" ht="12.75">
      <c r="I1429" s="538"/>
    </row>
    <row r="1430" ht="12.75">
      <c r="I1430" s="538"/>
    </row>
    <row r="1431" ht="12.75">
      <c r="I1431" s="538"/>
    </row>
    <row r="1432" ht="12.75">
      <c r="I1432" s="538"/>
    </row>
    <row r="1433" ht="12.75">
      <c r="I1433" s="538"/>
    </row>
    <row r="1434" ht="12.75">
      <c r="I1434" s="538"/>
    </row>
    <row r="1435" ht="12.75">
      <c r="I1435" s="538"/>
    </row>
    <row r="1436" ht="12.75">
      <c r="I1436" s="538"/>
    </row>
    <row r="1437" ht="12.75">
      <c r="I1437" s="538"/>
    </row>
    <row r="1438" ht="12.75">
      <c r="I1438" s="538"/>
    </row>
    <row r="1439" ht="12.75">
      <c r="I1439" s="538"/>
    </row>
    <row r="1440" ht="12.75">
      <c r="I1440" s="538"/>
    </row>
    <row r="1441" ht="12.75">
      <c r="I1441" s="538"/>
    </row>
    <row r="1442" ht="12.75">
      <c r="I1442" s="538"/>
    </row>
    <row r="1443" ht="12.75">
      <c r="I1443" s="538"/>
    </row>
    <row r="1444" ht="12.75">
      <c r="I1444" s="538"/>
    </row>
    <row r="1445" ht="12.75">
      <c r="I1445" s="538"/>
    </row>
    <row r="1446" ht="12.75">
      <c r="I1446" s="538"/>
    </row>
    <row r="1447" ht="12.75">
      <c r="I1447" s="538"/>
    </row>
    <row r="1448" ht="12.75">
      <c r="I1448" s="538"/>
    </row>
    <row r="1449" ht="12.75">
      <c r="I1449" s="538"/>
    </row>
    <row r="1450" ht="12.75">
      <c r="I1450" s="538"/>
    </row>
    <row r="1451" ht="12.75">
      <c r="I1451" s="538"/>
    </row>
    <row r="1452" ht="12.75">
      <c r="I1452" s="538"/>
    </row>
    <row r="1453" ht="12.75">
      <c r="I1453" s="538"/>
    </row>
    <row r="1454" ht="12.75">
      <c r="I1454" s="538"/>
    </row>
    <row r="1455" ht="12.75">
      <c r="I1455" s="538"/>
    </row>
    <row r="1456" ht="12.75">
      <c r="I1456" s="538"/>
    </row>
    <row r="1457" ht="12.75">
      <c r="I1457" s="538"/>
    </row>
    <row r="1458" ht="12.75">
      <c r="I1458" s="538"/>
    </row>
    <row r="1459" ht="12.75">
      <c r="I1459" s="538"/>
    </row>
    <row r="1460" ht="12.75">
      <c r="I1460" s="538"/>
    </row>
    <row r="1461" ht="12.75">
      <c r="I1461" s="538"/>
    </row>
    <row r="1462" ht="12.75">
      <c r="I1462" s="538"/>
    </row>
    <row r="1463" ht="12.75">
      <c r="I1463" s="538"/>
    </row>
    <row r="1464" ht="12.75">
      <c r="I1464" s="538"/>
    </row>
    <row r="1465" ht="12.75">
      <c r="I1465" s="538"/>
    </row>
    <row r="1466" ht="12.75">
      <c r="I1466" s="538"/>
    </row>
    <row r="1467" ht="12.75">
      <c r="I1467" s="538"/>
    </row>
    <row r="1468" ht="12.75">
      <c r="I1468" s="538"/>
    </row>
    <row r="1469" ht="12.75">
      <c r="I1469" s="538"/>
    </row>
    <row r="1470" ht="12.75">
      <c r="I1470" s="538"/>
    </row>
    <row r="1471" ht="12.75">
      <c r="I1471" s="538"/>
    </row>
    <row r="1472" ht="12.75">
      <c r="I1472" s="538"/>
    </row>
    <row r="1473" ht="12.75">
      <c r="I1473" s="538"/>
    </row>
    <row r="1474" ht="12.75">
      <c r="I1474" s="538"/>
    </row>
    <row r="1475" ht="12.75">
      <c r="I1475" s="538"/>
    </row>
    <row r="1476" ht="12.75">
      <c r="I1476" s="538"/>
    </row>
    <row r="1477" ht="12.75">
      <c r="I1477" s="538"/>
    </row>
    <row r="1478" ht="12.75">
      <c r="I1478" s="538"/>
    </row>
    <row r="1479" ht="12.75">
      <c r="I1479" s="538"/>
    </row>
    <row r="1480" ht="12.75">
      <c r="I1480" s="538"/>
    </row>
    <row r="1481" ht="12.75">
      <c r="I1481" s="538"/>
    </row>
    <row r="1482" ht="12.75">
      <c r="I1482" s="538"/>
    </row>
    <row r="1483" ht="12.75">
      <c r="I1483" s="538"/>
    </row>
    <row r="1484" ht="12.75">
      <c r="I1484" s="538"/>
    </row>
    <row r="1485" ht="12.75">
      <c r="I1485" s="538"/>
    </row>
    <row r="1486" ht="12.75">
      <c r="I1486" s="538"/>
    </row>
    <row r="1487" ht="12.75">
      <c r="I1487" s="538"/>
    </row>
    <row r="1488" ht="12.75">
      <c r="I1488" s="538"/>
    </row>
    <row r="1489" ht="12.75">
      <c r="I1489" s="538"/>
    </row>
    <row r="1490" ht="12.75">
      <c r="I1490" s="538"/>
    </row>
    <row r="1491" ht="12.75">
      <c r="I1491" s="538"/>
    </row>
    <row r="1492" ht="12.75">
      <c r="I1492" s="538"/>
    </row>
    <row r="1493" ht="12.75">
      <c r="I1493" s="538"/>
    </row>
    <row r="1494" ht="12.75">
      <c r="I1494" s="538"/>
    </row>
    <row r="1495" ht="12.75">
      <c r="I1495" s="538"/>
    </row>
    <row r="1496" ht="12.75">
      <c r="I1496" s="538"/>
    </row>
    <row r="1497" ht="12.75">
      <c r="I1497" s="538"/>
    </row>
    <row r="1498" ht="12.75">
      <c r="I1498" s="538"/>
    </row>
    <row r="1499" ht="12.75">
      <c r="I1499" s="538"/>
    </row>
    <row r="1500" ht="12.75">
      <c r="I1500" s="538"/>
    </row>
    <row r="1501" ht="12.75">
      <c r="I1501" s="538"/>
    </row>
    <row r="1502" ht="12.75">
      <c r="I1502" s="538"/>
    </row>
    <row r="1503" ht="12.75">
      <c r="I1503" s="538"/>
    </row>
    <row r="1504" ht="12.75">
      <c r="I1504" s="538"/>
    </row>
    <row r="1505" ht="12.75">
      <c r="I1505" s="538"/>
    </row>
    <row r="1506" ht="12.75">
      <c r="I1506" s="538"/>
    </row>
    <row r="1507" ht="12.75">
      <c r="I1507" s="538"/>
    </row>
    <row r="1508" ht="12.75">
      <c r="I1508" s="538"/>
    </row>
    <row r="1509" ht="12.75">
      <c r="I1509" s="538"/>
    </row>
    <row r="1510" ht="12.75">
      <c r="I1510" s="538"/>
    </row>
    <row r="1511" ht="12.75">
      <c r="I1511" s="538"/>
    </row>
    <row r="1512" ht="12.75">
      <c r="I1512" s="538"/>
    </row>
    <row r="1513" ht="12.75">
      <c r="I1513" s="538"/>
    </row>
    <row r="1514" ht="12.75">
      <c r="I1514" s="538"/>
    </row>
    <row r="1515" ht="12.75">
      <c r="I1515" s="538"/>
    </row>
    <row r="1516" ht="12.75">
      <c r="I1516" s="538"/>
    </row>
    <row r="1517" ht="12.75">
      <c r="I1517" s="538"/>
    </row>
    <row r="1518" ht="12.75">
      <c r="I1518" s="538"/>
    </row>
    <row r="1519" ht="12.75">
      <c r="I1519" s="538"/>
    </row>
    <row r="1520" ht="12.75">
      <c r="I1520" s="538"/>
    </row>
    <row r="1521" ht="12.75">
      <c r="I1521" s="538"/>
    </row>
    <row r="1522" ht="12.75">
      <c r="I1522" s="538"/>
    </row>
    <row r="1523" ht="12.75">
      <c r="I1523" s="538"/>
    </row>
    <row r="1524" ht="12.75">
      <c r="I1524" s="538"/>
    </row>
    <row r="1525" ht="12.75">
      <c r="I1525" s="538"/>
    </row>
    <row r="1526" ht="12.75">
      <c r="I1526" s="538"/>
    </row>
    <row r="1527" ht="12.75">
      <c r="I1527" s="538"/>
    </row>
    <row r="1528" ht="12.75">
      <c r="I1528" s="538"/>
    </row>
    <row r="1529" ht="12.75">
      <c r="I1529" s="538"/>
    </row>
    <row r="1530" ht="12.75">
      <c r="I1530" s="538"/>
    </row>
    <row r="1531" ht="12.75">
      <c r="I1531" s="538"/>
    </row>
    <row r="1532" ht="12.75">
      <c r="I1532" s="538"/>
    </row>
    <row r="1533" ht="12.75">
      <c r="I1533" s="538"/>
    </row>
    <row r="1534" ht="12.75">
      <c r="I1534" s="538"/>
    </row>
    <row r="1535" ht="12.75">
      <c r="I1535" s="538"/>
    </row>
    <row r="1536" ht="12.75">
      <c r="I1536" s="538"/>
    </row>
    <row r="1537" ht="12.75">
      <c r="I1537" s="538"/>
    </row>
    <row r="1538" ht="12.75">
      <c r="I1538" s="538"/>
    </row>
    <row r="1539" ht="12.75">
      <c r="I1539" s="538"/>
    </row>
    <row r="1540" ht="12.75">
      <c r="I1540" s="538"/>
    </row>
    <row r="1541" ht="12.75">
      <c r="I1541" s="538"/>
    </row>
    <row r="1542" ht="12.75">
      <c r="I1542" s="538"/>
    </row>
    <row r="1543" ht="12.75">
      <c r="I1543" s="538"/>
    </row>
    <row r="1544" ht="12.75">
      <c r="I1544" s="538"/>
    </row>
    <row r="1545" ht="12.75">
      <c r="I1545" s="538"/>
    </row>
    <row r="1546" ht="12.75">
      <c r="I1546" s="538"/>
    </row>
    <row r="1547" ht="12.75">
      <c r="I1547" s="538"/>
    </row>
    <row r="1548" ht="12.75">
      <c r="I1548" s="538"/>
    </row>
    <row r="1549" ht="12.75">
      <c r="I1549" s="538"/>
    </row>
    <row r="1550" ht="12.75">
      <c r="I1550" s="538"/>
    </row>
    <row r="1551" ht="12.75">
      <c r="I1551" s="538"/>
    </row>
    <row r="1552" ht="12.75">
      <c r="I1552" s="538"/>
    </row>
    <row r="1553" ht="12.75">
      <c r="I1553" s="538"/>
    </row>
    <row r="1554" ht="12.75">
      <c r="I1554" s="538"/>
    </row>
    <row r="1555" ht="12.75">
      <c r="I1555" s="538"/>
    </row>
    <row r="1556" ht="12.75">
      <c r="I1556" s="538"/>
    </row>
    <row r="1557" ht="12.75">
      <c r="I1557" s="538"/>
    </row>
    <row r="1558" ht="12.75">
      <c r="I1558" s="538"/>
    </row>
    <row r="1559" ht="12.75">
      <c r="I1559" s="538"/>
    </row>
    <row r="1560" ht="12.75">
      <c r="I1560" s="538"/>
    </row>
    <row r="1561" ht="12.75">
      <c r="I1561" s="538"/>
    </row>
    <row r="1562" ht="12.75">
      <c r="I1562" s="538"/>
    </row>
    <row r="1563" ht="12.75">
      <c r="I1563" s="538"/>
    </row>
    <row r="1564" ht="12.75">
      <c r="I1564" s="538"/>
    </row>
    <row r="1565" ht="12.75">
      <c r="I1565" s="538"/>
    </row>
    <row r="1566" ht="12.75">
      <c r="I1566" s="538"/>
    </row>
    <row r="1567" ht="12.75">
      <c r="I1567" s="538"/>
    </row>
    <row r="1568" ht="12.75">
      <c r="I1568" s="538"/>
    </row>
    <row r="1569" ht="12.75">
      <c r="I1569" s="538"/>
    </row>
    <row r="1570" ht="12.75">
      <c r="I1570" s="538"/>
    </row>
    <row r="1571" ht="12.75">
      <c r="I1571" s="538"/>
    </row>
    <row r="1572" ht="12.75">
      <c r="I1572" s="538"/>
    </row>
    <row r="1573" ht="12.75">
      <c r="I1573" s="538"/>
    </row>
    <row r="1574" ht="12.75">
      <c r="I1574" s="538"/>
    </row>
    <row r="1575" ht="12.75">
      <c r="I1575" s="538"/>
    </row>
    <row r="1576" ht="12.75">
      <c r="I1576" s="538"/>
    </row>
    <row r="1577" ht="12.75">
      <c r="I1577" s="538"/>
    </row>
    <row r="1578" ht="12.75">
      <c r="I1578" s="538"/>
    </row>
    <row r="1579" ht="12.75">
      <c r="I1579" s="538"/>
    </row>
    <row r="1580" ht="12.75">
      <c r="I1580" s="538"/>
    </row>
    <row r="1581" ht="12.75">
      <c r="I1581" s="538"/>
    </row>
    <row r="1582" ht="12.75">
      <c r="I1582" s="538"/>
    </row>
    <row r="1583" ht="12.75">
      <c r="I1583" s="538"/>
    </row>
    <row r="1584" ht="12.75">
      <c r="I1584" s="538"/>
    </row>
    <row r="1585" ht="12.75">
      <c r="I1585" s="538"/>
    </row>
    <row r="1586" ht="12.75">
      <c r="I1586" s="538"/>
    </row>
    <row r="1587" ht="12.75">
      <c r="I1587" s="538"/>
    </row>
    <row r="1588" ht="12.75">
      <c r="I1588" s="538"/>
    </row>
    <row r="1589" ht="12.75">
      <c r="I1589" s="538"/>
    </row>
    <row r="1590" ht="12.75">
      <c r="I1590" s="538"/>
    </row>
    <row r="1591" ht="12.75">
      <c r="I1591" s="538"/>
    </row>
    <row r="1592" ht="12.75">
      <c r="I1592" s="538"/>
    </row>
    <row r="1593" ht="12.75">
      <c r="I1593" s="538"/>
    </row>
    <row r="1594" ht="12.75">
      <c r="I1594" s="538"/>
    </row>
    <row r="1595" ht="12.75">
      <c r="I1595" s="538"/>
    </row>
    <row r="1596" ht="12.75">
      <c r="I1596" s="538"/>
    </row>
    <row r="1597" ht="12.75">
      <c r="I1597" s="538"/>
    </row>
    <row r="1598" ht="12.75">
      <c r="I1598" s="538"/>
    </row>
    <row r="1599" ht="12.75">
      <c r="I1599" s="538"/>
    </row>
    <row r="1600" ht="12.75">
      <c r="I1600" s="538"/>
    </row>
    <row r="1601" ht="12.75">
      <c r="I1601" s="538"/>
    </row>
    <row r="1602" ht="12.75">
      <c r="I1602" s="538"/>
    </row>
    <row r="1603" ht="12.75">
      <c r="I1603" s="538"/>
    </row>
    <row r="1604" ht="12.75">
      <c r="I1604" s="538"/>
    </row>
    <row r="1605" ht="12.75">
      <c r="I1605" s="538"/>
    </row>
    <row r="1606" ht="12.75">
      <c r="I1606" s="538"/>
    </row>
    <row r="1607" ht="12.75">
      <c r="I1607" s="538"/>
    </row>
    <row r="1608" ht="12.75">
      <c r="I1608" s="538"/>
    </row>
    <row r="1609" ht="12.75">
      <c r="I1609" s="538"/>
    </row>
    <row r="1610" ht="12.75">
      <c r="I1610" s="538"/>
    </row>
    <row r="1611" ht="12.75">
      <c r="I1611" s="538"/>
    </row>
    <row r="1612" ht="12.75">
      <c r="I1612" s="538"/>
    </row>
    <row r="1613" ht="12.75">
      <c r="I1613" s="538"/>
    </row>
    <row r="1614" ht="12.75">
      <c r="I1614" s="538"/>
    </row>
    <row r="1615" ht="12.75">
      <c r="I1615" s="538"/>
    </row>
    <row r="1616" ht="12.75">
      <c r="I1616" s="538"/>
    </row>
    <row r="1617" ht="12.75">
      <c r="I1617" s="538"/>
    </row>
    <row r="1618" ht="12.75">
      <c r="I1618" s="538"/>
    </row>
    <row r="1619" ht="12.75">
      <c r="I1619" s="538"/>
    </row>
    <row r="1620" ht="12.75">
      <c r="I1620" s="538"/>
    </row>
    <row r="1621" ht="12.75">
      <c r="I1621" s="538"/>
    </row>
    <row r="1622" ht="12.75">
      <c r="I1622" s="538"/>
    </row>
    <row r="1623" ht="12.75">
      <c r="I1623" s="538"/>
    </row>
    <row r="1624" ht="12.75">
      <c r="I1624" s="538"/>
    </row>
    <row r="1625" ht="12.75">
      <c r="I1625" s="538"/>
    </row>
    <row r="1626" ht="12.75">
      <c r="I1626" s="538"/>
    </row>
    <row r="1627" ht="12.75">
      <c r="I1627" s="538"/>
    </row>
    <row r="1628" ht="12.75">
      <c r="I1628" s="538"/>
    </row>
    <row r="1629" ht="12.75">
      <c r="I1629" s="538"/>
    </row>
    <row r="1630" ht="12.75">
      <c r="I1630" s="538"/>
    </row>
    <row r="1631" ht="12.75">
      <c r="I1631" s="538"/>
    </row>
    <row r="1632" ht="12.75">
      <c r="I1632" s="538"/>
    </row>
    <row r="1633" ht="12.75">
      <c r="I1633" s="538"/>
    </row>
    <row r="1634" ht="12.75">
      <c r="I1634" s="538"/>
    </row>
    <row r="1635" ht="12.75">
      <c r="I1635" s="538"/>
    </row>
    <row r="1636" ht="12.75">
      <c r="I1636" s="538"/>
    </row>
    <row r="1637" ht="12.75">
      <c r="I1637" s="538"/>
    </row>
    <row r="1638" ht="12.75">
      <c r="I1638" s="538"/>
    </row>
    <row r="1639" ht="12.75">
      <c r="I1639" s="538"/>
    </row>
    <row r="1640" ht="12.75">
      <c r="I1640" s="538"/>
    </row>
    <row r="1641" ht="12.75">
      <c r="I1641" s="538"/>
    </row>
    <row r="1642" ht="12.75">
      <c r="I1642" s="538"/>
    </row>
    <row r="1643" ht="12.75">
      <c r="I1643" s="538"/>
    </row>
    <row r="1644" ht="12.75">
      <c r="I1644" s="538"/>
    </row>
    <row r="1645" ht="12.75">
      <c r="I1645" s="538"/>
    </row>
    <row r="1646" ht="12.75">
      <c r="I1646" s="538"/>
    </row>
    <row r="1647" ht="12.75">
      <c r="I1647" s="538"/>
    </row>
    <row r="1648" ht="12.75">
      <c r="I1648" s="538"/>
    </row>
    <row r="1649" ht="12.75">
      <c r="I1649" s="538"/>
    </row>
    <row r="1650" ht="12.75">
      <c r="I1650" s="538"/>
    </row>
    <row r="1651" ht="12.75">
      <c r="I1651" s="538"/>
    </row>
    <row r="1652" ht="12.75">
      <c r="I1652" s="538"/>
    </row>
    <row r="1653" ht="12.75">
      <c r="I1653" s="538"/>
    </row>
    <row r="1654" ht="12.75">
      <c r="I1654" s="538"/>
    </row>
    <row r="1655" ht="12.75">
      <c r="I1655" s="538"/>
    </row>
    <row r="1656" ht="12.75">
      <c r="I1656" s="538"/>
    </row>
    <row r="1657" ht="12.75">
      <c r="I1657" s="538"/>
    </row>
    <row r="1658" ht="12.75">
      <c r="I1658" s="538"/>
    </row>
    <row r="1659" ht="12.75">
      <c r="I1659" s="538"/>
    </row>
    <row r="1660" ht="12.75">
      <c r="I1660" s="538"/>
    </row>
    <row r="1661" ht="12.75">
      <c r="I1661" s="538"/>
    </row>
    <row r="1662" ht="12.75">
      <c r="I1662" s="538"/>
    </row>
    <row r="1663" ht="12.75">
      <c r="I1663" s="538"/>
    </row>
    <row r="1664" ht="12.75">
      <c r="I1664" s="538"/>
    </row>
    <row r="1665" ht="12.75">
      <c r="I1665" s="538"/>
    </row>
    <row r="1666" ht="12.75">
      <c r="I1666" s="538"/>
    </row>
    <row r="1667" ht="12.75">
      <c r="I1667" s="538"/>
    </row>
    <row r="1668" ht="12.75">
      <c r="I1668" s="538"/>
    </row>
    <row r="1669" ht="12.75">
      <c r="I1669" s="538"/>
    </row>
    <row r="1670" ht="12.75">
      <c r="I1670" s="538"/>
    </row>
    <row r="1671" ht="12.75">
      <c r="I1671" s="538"/>
    </row>
    <row r="1672" ht="12.75">
      <c r="I1672" s="538"/>
    </row>
    <row r="1673" ht="12.75">
      <c r="I1673" s="538"/>
    </row>
    <row r="1674" ht="12.75">
      <c r="I1674" s="538"/>
    </row>
    <row r="1675" ht="12.75">
      <c r="I1675" s="538"/>
    </row>
    <row r="1676" ht="12.75">
      <c r="I1676" s="538"/>
    </row>
    <row r="1677" ht="12.75">
      <c r="I1677" s="538"/>
    </row>
    <row r="1678" ht="12.75">
      <c r="I1678" s="538"/>
    </row>
    <row r="1679" ht="12.75">
      <c r="I1679" s="538"/>
    </row>
    <row r="1680" ht="12.75">
      <c r="I1680" s="538"/>
    </row>
    <row r="1681" ht="12.75">
      <c r="I1681" s="538"/>
    </row>
    <row r="1682" ht="12.75">
      <c r="I1682" s="538"/>
    </row>
    <row r="1683" ht="12.75">
      <c r="I1683" s="538"/>
    </row>
    <row r="1684" ht="12.75">
      <c r="I1684" s="538"/>
    </row>
    <row r="1685" ht="12.75">
      <c r="I1685" s="538"/>
    </row>
    <row r="1686" ht="12.75">
      <c r="I1686" s="538"/>
    </row>
    <row r="1687" ht="12.75">
      <c r="I1687" s="538"/>
    </row>
    <row r="1688" ht="12.75">
      <c r="I1688" s="538"/>
    </row>
    <row r="1689" ht="12.75">
      <c r="I1689" s="538"/>
    </row>
    <row r="1690" ht="12.75">
      <c r="I1690" s="538"/>
    </row>
    <row r="1691" ht="12.75">
      <c r="I1691" s="538"/>
    </row>
    <row r="1692" ht="12.75">
      <c r="I1692" s="538"/>
    </row>
    <row r="1693" ht="12.75">
      <c r="I1693" s="538"/>
    </row>
    <row r="1694" ht="12.75">
      <c r="I1694" s="538"/>
    </row>
    <row r="1695" ht="12.75">
      <c r="I1695" s="538"/>
    </row>
    <row r="1696" ht="12.75">
      <c r="I1696" s="538"/>
    </row>
    <row r="1697" ht="12.75">
      <c r="I1697" s="538"/>
    </row>
    <row r="1698" ht="12.75">
      <c r="I1698" s="538"/>
    </row>
    <row r="1699" ht="12.75">
      <c r="I1699" s="538"/>
    </row>
    <row r="1700" ht="12.75">
      <c r="I1700" s="538"/>
    </row>
    <row r="1701" ht="12.75">
      <c r="I1701" s="538"/>
    </row>
    <row r="1702" ht="12.75">
      <c r="I1702" s="538"/>
    </row>
    <row r="1703" ht="12.75">
      <c r="I1703" s="538"/>
    </row>
    <row r="1704" ht="12.75">
      <c r="I1704" s="538"/>
    </row>
    <row r="1705" ht="12.75">
      <c r="I1705" s="538"/>
    </row>
    <row r="1706" ht="12.75">
      <c r="I1706" s="538"/>
    </row>
    <row r="1707" ht="12.75">
      <c r="I1707" s="538"/>
    </row>
    <row r="1708" ht="12.75">
      <c r="I1708" s="538"/>
    </row>
    <row r="1709" ht="12.75">
      <c r="I1709" s="538"/>
    </row>
    <row r="1710" ht="12.75">
      <c r="I1710" s="538"/>
    </row>
    <row r="1711" ht="12.75">
      <c r="I1711" s="538"/>
    </row>
    <row r="1712" ht="12.75">
      <c r="I1712" s="538"/>
    </row>
    <row r="1713" ht="12.75">
      <c r="I1713" s="538"/>
    </row>
    <row r="1714" ht="12.75">
      <c r="I1714" s="538"/>
    </row>
    <row r="1715" ht="12.75">
      <c r="I1715" s="538"/>
    </row>
    <row r="1716" ht="12.75">
      <c r="I1716" s="538"/>
    </row>
    <row r="1717" ht="12.75">
      <c r="I1717" s="538"/>
    </row>
    <row r="1718" ht="12.75">
      <c r="I1718" s="538"/>
    </row>
    <row r="1719" ht="12.75">
      <c r="I1719" s="538"/>
    </row>
    <row r="1720" ht="12.75">
      <c r="I1720" s="538"/>
    </row>
    <row r="1721" ht="12.75">
      <c r="I1721" s="538"/>
    </row>
    <row r="1722" ht="12.75">
      <c r="I1722" s="538"/>
    </row>
    <row r="1723" ht="12.75">
      <c r="I1723" s="538"/>
    </row>
    <row r="1724" ht="12.75">
      <c r="I1724" s="538"/>
    </row>
    <row r="1725" ht="12.75">
      <c r="I1725" s="538"/>
    </row>
    <row r="1726" ht="12.75">
      <c r="I1726" s="538"/>
    </row>
    <row r="1727" ht="12.75">
      <c r="I1727" s="538"/>
    </row>
    <row r="1728" ht="12.75">
      <c r="I1728" s="538"/>
    </row>
    <row r="1729" ht="12.75">
      <c r="I1729" s="538"/>
    </row>
    <row r="1730" ht="12.75">
      <c r="I1730" s="538"/>
    </row>
    <row r="1731" ht="12.75">
      <c r="I1731" s="538"/>
    </row>
    <row r="1732" ht="12.75">
      <c r="I1732" s="538"/>
    </row>
    <row r="1733" ht="12.75">
      <c r="I1733" s="538"/>
    </row>
    <row r="1734" ht="12.75">
      <c r="I1734" s="538"/>
    </row>
    <row r="1735" ht="12.75">
      <c r="I1735" s="538"/>
    </row>
    <row r="1736" ht="12.75">
      <c r="I1736" s="538"/>
    </row>
    <row r="1737" ht="12.75">
      <c r="I1737" s="538"/>
    </row>
    <row r="1738" ht="12.75">
      <c r="I1738" s="538"/>
    </row>
    <row r="1739" ht="12.75">
      <c r="I1739" s="538"/>
    </row>
    <row r="1740" ht="12.75">
      <c r="I1740" s="538"/>
    </row>
    <row r="1741" ht="12.75">
      <c r="I1741" s="538"/>
    </row>
    <row r="1742" ht="12.75">
      <c r="I1742" s="538"/>
    </row>
    <row r="1743" ht="12.75">
      <c r="I1743" s="538"/>
    </row>
    <row r="1744" ht="12.75">
      <c r="I1744" s="538"/>
    </row>
    <row r="1745" ht="12.75">
      <c r="I1745" s="538"/>
    </row>
    <row r="1746" ht="12.75">
      <c r="I1746" s="538"/>
    </row>
    <row r="1747" ht="12.75">
      <c r="I1747" s="538"/>
    </row>
    <row r="1748" ht="12.75">
      <c r="I1748" s="538"/>
    </row>
    <row r="1749" ht="12.75">
      <c r="I1749" s="538"/>
    </row>
    <row r="1750" ht="12.75">
      <c r="I1750" s="538"/>
    </row>
    <row r="1751" ht="12.75">
      <c r="I1751" s="538"/>
    </row>
    <row r="1752" ht="12.75">
      <c r="I1752" s="538"/>
    </row>
    <row r="1753" ht="12.75">
      <c r="I1753" s="538"/>
    </row>
    <row r="1754" ht="12.75">
      <c r="I1754" s="538"/>
    </row>
    <row r="1755" ht="12.75">
      <c r="I1755" s="538"/>
    </row>
    <row r="1756" ht="12.75">
      <c r="I1756" s="538"/>
    </row>
    <row r="1757" ht="12.75">
      <c r="I1757" s="538"/>
    </row>
    <row r="1758" ht="12.75">
      <c r="I1758" s="538"/>
    </row>
    <row r="1759" ht="12.75">
      <c r="I1759" s="538"/>
    </row>
    <row r="1760" ht="12.75">
      <c r="I1760" s="538"/>
    </row>
    <row r="1761" ht="12.75">
      <c r="I1761" s="538"/>
    </row>
    <row r="1762" ht="12.75">
      <c r="I1762" s="538"/>
    </row>
    <row r="1763" ht="12.75">
      <c r="I1763" s="538"/>
    </row>
    <row r="1764" ht="12.75">
      <c r="I1764" s="538"/>
    </row>
    <row r="1765" ht="12.75">
      <c r="I1765" s="538"/>
    </row>
    <row r="1766" ht="12.75">
      <c r="I1766" s="538"/>
    </row>
    <row r="1767" ht="12.75">
      <c r="I1767" s="538"/>
    </row>
    <row r="1768" ht="12.75">
      <c r="I1768" s="538"/>
    </row>
    <row r="1769" ht="12.75">
      <c r="I1769" s="538"/>
    </row>
    <row r="1770" ht="12.75">
      <c r="I1770" s="538"/>
    </row>
    <row r="1771" ht="12.75">
      <c r="I1771" s="538"/>
    </row>
    <row r="1772" ht="12.75">
      <c r="I1772" s="538"/>
    </row>
    <row r="1773" ht="12.75">
      <c r="I1773" s="538"/>
    </row>
    <row r="1774" ht="12.75">
      <c r="I1774" s="538"/>
    </row>
    <row r="1775" ht="12.75">
      <c r="I1775" s="538"/>
    </row>
    <row r="1776" ht="12.75">
      <c r="I1776" s="538"/>
    </row>
    <row r="1777" ht="12.75">
      <c r="I1777" s="538"/>
    </row>
    <row r="1778" ht="12.75">
      <c r="I1778" s="538"/>
    </row>
    <row r="1779" ht="12.75">
      <c r="I1779" s="538"/>
    </row>
    <row r="1780" ht="12.75">
      <c r="I1780" s="538"/>
    </row>
    <row r="1781" ht="12.75">
      <c r="I1781" s="538"/>
    </row>
    <row r="1782" ht="12.75">
      <c r="I1782" s="538"/>
    </row>
    <row r="1783" ht="12.75">
      <c r="I1783" s="538"/>
    </row>
    <row r="1784" ht="12.75">
      <c r="I1784" s="538"/>
    </row>
    <row r="1785" ht="12.75">
      <c r="I1785" s="538"/>
    </row>
    <row r="1786" ht="12.75">
      <c r="I1786" s="538"/>
    </row>
    <row r="1787" ht="12.75">
      <c r="I1787" s="538"/>
    </row>
    <row r="1788" ht="12.75">
      <c r="I1788" s="538"/>
    </row>
    <row r="1789" ht="12.75">
      <c r="I1789" s="538"/>
    </row>
    <row r="1790" ht="12.75">
      <c r="I1790" s="538"/>
    </row>
    <row r="1791" ht="12.75">
      <c r="I1791" s="538"/>
    </row>
    <row r="1792" ht="12.75">
      <c r="I1792" s="538"/>
    </row>
    <row r="1793" ht="12.75">
      <c r="I1793" s="538"/>
    </row>
    <row r="1794" ht="12.75">
      <c r="I1794" s="538"/>
    </row>
    <row r="1795" ht="12.75">
      <c r="I1795" s="538"/>
    </row>
    <row r="1796" ht="12.75">
      <c r="I1796" s="538"/>
    </row>
    <row r="1797" ht="12.75">
      <c r="I1797" s="538"/>
    </row>
    <row r="1798" ht="12.75">
      <c r="I1798" s="538"/>
    </row>
    <row r="1799" ht="12.75">
      <c r="I1799" s="538"/>
    </row>
    <row r="1800" ht="12.75">
      <c r="I1800" s="538"/>
    </row>
    <row r="1801" ht="12.75">
      <c r="I1801" s="538"/>
    </row>
    <row r="1802" ht="12.75">
      <c r="I1802" s="538"/>
    </row>
    <row r="1803" ht="12.75">
      <c r="I1803" s="538"/>
    </row>
    <row r="1804" ht="12.75">
      <c r="I1804" s="538"/>
    </row>
    <row r="1805" ht="12.75">
      <c r="I1805" s="538"/>
    </row>
    <row r="1806" ht="12.75">
      <c r="I1806" s="538"/>
    </row>
    <row r="1807" ht="12.75">
      <c r="I1807" s="538"/>
    </row>
    <row r="1808" ht="12.75">
      <c r="I1808" s="538"/>
    </row>
    <row r="1809" ht="12.75">
      <c r="I1809" s="538"/>
    </row>
    <row r="1810" ht="12.75">
      <c r="I1810" s="538"/>
    </row>
    <row r="1811" ht="12.75">
      <c r="I1811" s="538"/>
    </row>
    <row r="1812" ht="12.75">
      <c r="I1812" s="538"/>
    </row>
    <row r="1813" ht="12.75">
      <c r="I1813" s="538"/>
    </row>
    <row r="1814" ht="12.75">
      <c r="I1814" s="538"/>
    </row>
    <row r="1815" ht="12.75">
      <c r="I1815" s="538"/>
    </row>
    <row r="1816" ht="12.75">
      <c r="I1816" s="538"/>
    </row>
    <row r="1817" ht="12.75">
      <c r="I1817" s="538"/>
    </row>
    <row r="1818" ht="12.75">
      <c r="I1818" s="538"/>
    </row>
    <row r="1819" ht="12.75">
      <c r="I1819" s="538"/>
    </row>
    <row r="1820" ht="12.75">
      <c r="I1820" s="538"/>
    </row>
    <row r="1821" ht="12.75">
      <c r="I1821" s="538"/>
    </row>
    <row r="1822" ht="12.75">
      <c r="I1822" s="538"/>
    </row>
    <row r="1823" ht="12.75">
      <c r="I1823" s="538"/>
    </row>
    <row r="1824" ht="12.75">
      <c r="I1824" s="538"/>
    </row>
    <row r="1825" ht="12.75">
      <c r="I1825" s="538"/>
    </row>
    <row r="1826" ht="12.75">
      <c r="I1826" s="538"/>
    </row>
    <row r="1827" ht="12.75">
      <c r="I1827" s="538"/>
    </row>
    <row r="1828" ht="12.75">
      <c r="I1828" s="538"/>
    </row>
    <row r="1829" ht="12.75">
      <c r="I1829" s="538"/>
    </row>
    <row r="1830" ht="12.75">
      <c r="I1830" s="538"/>
    </row>
    <row r="1831" ht="12.75">
      <c r="I1831" s="538"/>
    </row>
    <row r="1832" ht="12.75">
      <c r="I1832" s="538"/>
    </row>
    <row r="1833" ht="12.75">
      <c r="I1833" s="538"/>
    </row>
    <row r="1834" ht="12.75">
      <c r="I1834" s="538"/>
    </row>
    <row r="1835" ht="12.75">
      <c r="I1835" s="538"/>
    </row>
    <row r="1836" ht="12.75">
      <c r="I1836" s="538"/>
    </row>
    <row r="1837" ht="12.75">
      <c r="I1837" s="538"/>
    </row>
    <row r="1838" ht="12.75">
      <c r="I1838" s="538"/>
    </row>
    <row r="1839" ht="12.75">
      <c r="I1839" s="538"/>
    </row>
    <row r="1840" ht="12.75">
      <c r="I1840" s="538"/>
    </row>
    <row r="1841" ht="12.75">
      <c r="I1841" s="538"/>
    </row>
    <row r="1842" ht="12.75">
      <c r="I1842" s="538"/>
    </row>
    <row r="1843" ht="12.75">
      <c r="I1843" s="538"/>
    </row>
    <row r="1844" ht="12.75">
      <c r="I1844" s="538"/>
    </row>
    <row r="1845" ht="12.75">
      <c r="I1845" s="538"/>
    </row>
    <row r="1846" ht="12.75">
      <c r="I1846" s="538"/>
    </row>
    <row r="1847" ht="12.75">
      <c r="I1847" s="538"/>
    </row>
    <row r="1848" ht="12.75">
      <c r="I1848" s="538"/>
    </row>
    <row r="1849" ht="12.75">
      <c r="I1849" s="538"/>
    </row>
    <row r="1850" ht="12.75">
      <c r="I1850" s="538"/>
    </row>
    <row r="1851" ht="12.75">
      <c r="I1851" s="538"/>
    </row>
    <row r="1852" ht="12.75">
      <c r="I1852" s="538"/>
    </row>
    <row r="1853" ht="12.75">
      <c r="I1853" s="538"/>
    </row>
    <row r="1854" ht="12.75">
      <c r="I1854" s="538"/>
    </row>
    <row r="1855" ht="12.75">
      <c r="I1855" s="538"/>
    </row>
    <row r="1856" ht="12.75">
      <c r="I1856" s="538"/>
    </row>
    <row r="1857" ht="12.75">
      <c r="I1857" s="538"/>
    </row>
    <row r="1858" ht="12.75">
      <c r="I1858" s="538"/>
    </row>
  </sheetData>
  <sheetProtection sheet="1" objects="1" scenarios="1" formatCells="0" formatColumns="0" formatRows="0"/>
  <mergeCells count="184">
    <mergeCell ref="D68:N68"/>
    <mergeCell ref="D69:N69"/>
    <mergeCell ref="D70:N70"/>
    <mergeCell ref="D158:G158"/>
    <mergeCell ref="D159:G159"/>
    <mergeCell ref="D160:G160"/>
    <mergeCell ref="L72:N72"/>
    <mergeCell ref="D72:K72"/>
    <mergeCell ref="D117:K117"/>
    <mergeCell ref="L117:N117"/>
    <mergeCell ref="D152:G152"/>
    <mergeCell ref="D153:G153"/>
    <mergeCell ref="D154:G154"/>
    <mergeCell ref="D155:G155"/>
    <mergeCell ref="D156:G156"/>
    <mergeCell ref="D157:G157"/>
    <mergeCell ref="D146:G146"/>
    <mergeCell ref="D147:G147"/>
    <mergeCell ref="D148:G148"/>
    <mergeCell ref="D149:G149"/>
    <mergeCell ref="D150:G150"/>
    <mergeCell ref="D151:G151"/>
    <mergeCell ref="D138:F138"/>
    <mergeCell ref="D139:F139"/>
    <mergeCell ref="D140:F140"/>
    <mergeCell ref="D142:N142"/>
    <mergeCell ref="D144:G144"/>
    <mergeCell ref="D145:G145"/>
    <mergeCell ref="D132:F132"/>
    <mergeCell ref="D133:F133"/>
    <mergeCell ref="D134:F134"/>
    <mergeCell ref="D135:F135"/>
    <mergeCell ref="D136:F136"/>
    <mergeCell ref="D137:F137"/>
    <mergeCell ref="D126:F126"/>
    <mergeCell ref="D127:F127"/>
    <mergeCell ref="D128:F128"/>
    <mergeCell ref="D129:F129"/>
    <mergeCell ref="D130:F130"/>
    <mergeCell ref="D131:F131"/>
    <mergeCell ref="D121:F121"/>
    <mergeCell ref="D122:F122"/>
    <mergeCell ref="D123:F123"/>
    <mergeCell ref="D124:F124"/>
    <mergeCell ref="D125:F125"/>
    <mergeCell ref="D91:F91"/>
    <mergeCell ref="D92:F92"/>
    <mergeCell ref="D109:G109"/>
    <mergeCell ref="D98:G98"/>
    <mergeCell ref="D99:G99"/>
    <mergeCell ref="D86:F86"/>
    <mergeCell ref="D87:F87"/>
    <mergeCell ref="D89:F89"/>
    <mergeCell ref="D83:F83"/>
    <mergeCell ref="D84:F84"/>
    <mergeCell ref="D85:F85"/>
    <mergeCell ref="D77:F77"/>
    <mergeCell ref="D78:F78"/>
    <mergeCell ref="D79:F79"/>
    <mergeCell ref="D96:N96"/>
    <mergeCell ref="D80:F80"/>
    <mergeCell ref="D81:F81"/>
    <mergeCell ref="D82:F82"/>
    <mergeCell ref="D93:F93"/>
    <mergeCell ref="D94:F94"/>
    <mergeCell ref="D88:F88"/>
    <mergeCell ref="D33:N33"/>
    <mergeCell ref="H35:I35"/>
    <mergeCell ref="D75:F75"/>
    <mergeCell ref="D76:F76"/>
    <mergeCell ref="D65:N65"/>
    <mergeCell ref="D90:F90"/>
    <mergeCell ref="M35:N35"/>
    <mergeCell ref="H36:L36"/>
    <mergeCell ref="M39:N39"/>
    <mergeCell ref="M42:N42"/>
    <mergeCell ref="D100:G100"/>
    <mergeCell ref="D101:G101"/>
    <mergeCell ref="D102:G102"/>
    <mergeCell ref="D103:G103"/>
    <mergeCell ref="D110:G110"/>
    <mergeCell ref="D111:G111"/>
    <mergeCell ref="D112:G112"/>
    <mergeCell ref="D113:G113"/>
    <mergeCell ref="D114:G114"/>
    <mergeCell ref="D104:G104"/>
    <mergeCell ref="D105:G105"/>
    <mergeCell ref="D106:G106"/>
    <mergeCell ref="D107:G107"/>
    <mergeCell ref="D108:G108"/>
    <mergeCell ref="E4:F4"/>
    <mergeCell ref="G4:H4"/>
    <mergeCell ref="I4:J4"/>
    <mergeCell ref="K4:L4"/>
    <mergeCell ref="M4:N4"/>
    <mergeCell ref="D6:N6"/>
    <mergeCell ref="B2:D4"/>
    <mergeCell ref="G2:H2"/>
    <mergeCell ref="I2:J2"/>
    <mergeCell ref="K2:L2"/>
    <mergeCell ref="M2:N2"/>
    <mergeCell ref="E3:F3"/>
    <mergeCell ref="G3:H3"/>
    <mergeCell ref="I3:J3"/>
    <mergeCell ref="K3:L3"/>
    <mergeCell ref="M3:N3"/>
    <mergeCell ref="E11:I11"/>
    <mergeCell ref="J11:N11"/>
    <mergeCell ref="J12:N12"/>
    <mergeCell ref="E12:I12"/>
    <mergeCell ref="D10:N10"/>
    <mergeCell ref="H37:L37"/>
    <mergeCell ref="D14:N14"/>
    <mergeCell ref="E15:I15"/>
    <mergeCell ref="J15:N15"/>
    <mergeCell ref="E16:I16"/>
    <mergeCell ref="J16:N16"/>
    <mergeCell ref="D18:N18"/>
    <mergeCell ref="E19:I19"/>
    <mergeCell ref="J19:N19"/>
    <mergeCell ref="E20:I20"/>
    <mergeCell ref="J20:N20"/>
    <mergeCell ref="D22:N22"/>
    <mergeCell ref="E23:I23"/>
    <mergeCell ref="J23:N23"/>
    <mergeCell ref="E24:I24"/>
    <mergeCell ref="J24:N24"/>
    <mergeCell ref="E30:N30"/>
    <mergeCell ref="F46:N46"/>
    <mergeCell ref="F47:N47"/>
    <mergeCell ref="F48:N48"/>
    <mergeCell ref="F49:N49"/>
    <mergeCell ref="F50:N50"/>
    <mergeCell ref="D52:N52"/>
    <mergeCell ref="E53:H53"/>
    <mergeCell ref="I53:K53"/>
    <mergeCell ref="L53:N53"/>
    <mergeCell ref="E54:H54"/>
    <mergeCell ref="I54:K54"/>
    <mergeCell ref="L54:N54"/>
    <mergeCell ref="E55:H55"/>
    <mergeCell ref="I55:K55"/>
    <mergeCell ref="L55:N55"/>
    <mergeCell ref="E56:H56"/>
    <mergeCell ref="I56:K56"/>
    <mergeCell ref="L56:N56"/>
    <mergeCell ref="E57:H57"/>
    <mergeCell ref="I57:K57"/>
    <mergeCell ref="L57:N57"/>
    <mergeCell ref="E58:H58"/>
    <mergeCell ref="I58:K58"/>
    <mergeCell ref="L58:N58"/>
    <mergeCell ref="E59:H59"/>
    <mergeCell ref="I59:K59"/>
    <mergeCell ref="L59:N59"/>
    <mergeCell ref="E60:H60"/>
    <mergeCell ref="I60:K60"/>
    <mergeCell ref="L60:N60"/>
    <mergeCell ref="E61:H61"/>
    <mergeCell ref="I61:K61"/>
    <mergeCell ref="L61:N61"/>
    <mergeCell ref="E62:H62"/>
    <mergeCell ref="I62:K62"/>
    <mergeCell ref="L62:N62"/>
    <mergeCell ref="U4:V4"/>
    <mergeCell ref="W4:X4"/>
    <mergeCell ref="Y4:Z4"/>
    <mergeCell ref="S2:T2"/>
    <mergeCell ref="E63:H63"/>
    <mergeCell ref="I63:K63"/>
    <mergeCell ref="L63:N63"/>
    <mergeCell ref="U2:V2"/>
    <mergeCell ref="W2:X2"/>
    <mergeCell ref="E31:N31"/>
    <mergeCell ref="D67:N67"/>
    <mergeCell ref="D73:N73"/>
    <mergeCell ref="D118:N118"/>
    <mergeCell ref="D119:N119"/>
    <mergeCell ref="Y2:Z2"/>
    <mergeCell ref="S3:T3"/>
    <mergeCell ref="U3:V3"/>
    <mergeCell ref="W3:X3"/>
    <mergeCell ref="Y3:Z3"/>
    <mergeCell ref="S4:T4"/>
  </mergeCells>
  <conditionalFormatting sqref="E31">
    <cfRule type="cellIs" priority="3" dxfId="2" operator="equal" stopIfTrue="1">
      <formula>EUconst_ERR_Mandatory_g</formula>
    </cfRule>
  </conditionalFormatting>
  <conditionalFormatting sqref="E30">
    <cfRule type="cellIs" priority="1" dxfId="2" operator="equal" stopIfTrue="1">
      <formula>EUconst_ERR_Mandatory_ef</formula>
    </cfRule>
  </conditionalFormatting>
  <hyperlinks>
    <hyperlink ref="G2:H2" location="JUMP_Coverpage_Top" display="JUMP_Coverpage_Top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30"/>
  <sheetViews>
    <sheetView zoomScalePageLayoutView="0" workbookViewId="0" topLeftCell="A1">
      <pane ySplit="3" topLeftCell="A4" activePane="bottomLeft" state="frozen"/>
      <selection pane="topLeft" activeCell="F43" sqref="F43"/>
      <selection pane="bottomLeft" activeCell="F1" sqref="F1:G1"/>
    </sheetView>
  </sheetViews>
  <sheetFormatPr defaultColWidth="11.421875" defaultRowHeight="12.75"/>
  <cols>
    <col min="1" max="1" width="2.7109375" style="18" customWidth="1"/>
    <col min="2" max="3" width="4.7109375" style="18" customWidth="1"/>
    <col min="4" max="13" width="12.7109375" style="18" customWidth="1"/>
    <col min="14" max="14" width="4.7109375" style="18" customWidth="1"/>
    <col min="15" max="16384" width="11.421875" style="18" customWidth="1"/>
  </cols>
  <sheetData>
    <row r="1" spans="1:13" ht="13.5" thickBot="1">
      <c r="A1" s="859" t="str">
        <f>Translations!$B$430</f>
        <v>I. 
Специфични данни, изисквани от отделните държави-членки)</v>
      </c>
      <c r="B1" s="860"/>
      <c r="C1" s="861"/>
      <c r="D1" s="201" t="str">
        <f>Translations!$B$276</f>
        <v>Навигационно меню:</v>
      </c>
      <c r="E1" s="200"/>
      <c r="F1" s="661" t="str">
        <f>Translations!$B$290</f>
        <v>Съдържание</v>
      </c>
      <c r="G1" s="648"/>
      <c r="H1" s="648"/>
      <c r="I1" s="648"/>
      <c r="J1" s="648" t="str">
        <f>Translations!$B$277</f>
        <v>Следващ работен лист (sheet)</v>
      </c>
      <c r="K1" s="648"/>
      <c r="L1" s="648"/>
      <c r="M1" s="655"/>
    </row>
    <row r="2" spans="1:13" ht="13.5" thickBot="1">
      <c r="A2" s="862"/>
      <c r="B2" s="863"/>
      <c r="C2" s="864"/>
      <c r="D2" s="648" t="str">
        <f>Translations!$B$279</f>
        <v>Начало на работния лист</v>
      </c>
      <c r="E2" s="696"/>
      <c r="F2" s="644"/>
      <c r="G2" s="644"/>
      <c r="H2" s="644"/>
      <c r="I2" s="644"/>
      <c r="J2" s="644"/>
      <c r="K2" s="644"/>
      <c r="L2" s="644"/>
      <c r="M2" s="644"/>
    </row>
    <row r="3" spans="1:13" ht="13.5" thickBot="1">
      <c r="A3" s="865"/>
      <c r="B3" s="866"/>
      <c r="C3" s="867"/>
      <c r="D3" s="648" t="str">
        <f>Translations!$B$280</f>
        <v>Край на работния лист</v>
      </c>
      <c r="E3" s="648"/>
      <c r="F3" s="644"/>
      <c r="G3" s="644"/>
      <c r="H3" s="644"/>
      <c r="I3" s="644"/>
      <c r="J3" s="644"/>
      <c r="K3" s="644"/>
      <c r="L3" s="644"/>
      <c r="M3" s="644"/>
    </row>
    <row r="4" spans="1:14" ht="12.75">
      <c r="A4" s="5"/>
      <c r="B4" s="6"/>
      <c r="C4" s="7"/>
      <c r="D4" s="7"/>
      <c r="E4" s="8"/>
      <c r="F4" s="8"/>
      <c r="G4" s="8"/>
      <c r="H4" s="5"/>
      <c r="I4" s="5"/>
      <c r="J4" s="5"/>
      <c r="K4" s="5"/>
      <c r="L4" s="9"/>
      <c r="M4" s="9"/>
      <c r="N4" s="9"/>
    </row>
    <row r="5" spans="1:14" ht="23.25" customHeight="1">
      <c r="A5" s="5"/>
      <c r="B5" s="11" t="s">
        <v>341</v>
      </c>
      <c r="C5" s="11" t="str">
        <f>Translations!$B$431</f>
        <v>Работен лист „MSspecific“ (Данни специфични за ДЧ)— ДОПЪЛНИТЕЛНИ ДАННИ, ИЗИСКВАНИИ ОТ ДЪРЖАВАТА-ЧЛЕНКА)</v>
      </c>
      <c r="D5" s="11"/>
      <c r="E5" s="11"/>
      <c r="F5" s="11"/>
      <c r="G5" s="11"/>
      <c r="H5" s="11"/>
      <c r="I5" s="11"/>
      <c r="J5" s="11"/>
      <c r="K5" s="11"/>
      <c r="L5" s="9"/>
      <c r="M5" s="9"/>
      <c r="N5" s="9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9"/>
      <c r="N6" s="9"/>
    </row>
    <row r="7" spans="1:14" ht="15.75">
      <c r="A7" s="5"/>
      <c r="B7" s="12" t="s">
        <v>40</v>
      </c>
      <c r="C7" s="13" t="str">
        <f>Translations!$B$432</f>
        <v>Определя се от държавата-членка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9"/>
    </row>
    <row r="8" spans="1:14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9"/>
      <c r="M8" s="9"/>
      <c r="N8" s="9"/>
    </row>
    <row r="30" spans="3:13" ht="12.75">
      <c r="C30" s="1008" t="str">
        <f>Translations!$B$335</f>
        <v>&lt;&lt;&lt;Щракнете тук за да продължите към следващия работен лист (sheet)&gt;&gt;&gt;</v>
      </c>
      <c r="D30" s="1009"/>
      <c r="E30" s="1009"/>
      <c r="F30" s="1009"/>
      <c r="G30" s="1009"/>
      <c r="H30" s="1008"/>
      <c r="I30" s="1008"/>
      <c r="J30" s="1008"/>
      <c r="K30" s="1008"/>
      <c r="L30" s="1008"/>
      <c r="M30" s="1008"/>
    </row>
  </sheetData>
  <sheetProtection sheet="1" objects="1" scenarios="1" formatCells="0" formatColumns="0" formatRows="0"/>
  <mergeCells count="16">
    <mergeCell ref="J3:K3"/>
    <mergeCell ref="L3:M3"/>
    <mergeCell ref="C30:M30"/>
    <mergeCell ref="J1:K1"/>
    <mergeCell ref="L1:M1"/>
    <mergeCell ref="D2:E2"/>
    <mergeCell ref="F2:G2"/>
    <mergeCell ref="H2:I2"/>
    <mergeCell ref="J2:K2"/>
    <mergeCell ref="L2:M2"/>
    <mergeCell ref="A1:C3"/>
    <mergeCell ref="F1:G1"/>
    <mergeCell ref="H1:I1"/>
    <mergeCell ref="D3:E3"/>
    <mergeCell ref="F3:G3"/>
    <mergeCell ref="H3:I3"/>
  </mergeCells>
  <hyperlinks>
    <hyperlink ref="F1:G1" location="JUMP_TOC_Home" display="Table of contents"/>
    <hyperlink ref="D2:E2" location="JUMP_I_Top" display="Top of sheet"/>
    <hyperlink ref="D3:E3" location="JUMP_I_Bottom" display="End of sheet"/>
    <hyperlink ref="J1:K1" location="JUMP_J_Top" display="Next sheet"/>
    <hyperlink ref="C30:M30" location="JUMP_J_Top" display="JUMP_J_Top"/>
  </hyperlinks>
  <printOptions/>
  <pageMargins left="0.7874015748031497" right="0.7874015748031497" top="0.7874015748031497" bottom="0.7874015748031497" header="0.5118110236220472" footer="0.5118110236220472"/>
  <pageSetup fitToHeight="10" fitToWidth="1" horizontalDpi="600" verticalDpi="600" orientation="portrait" paperSize="9" scale="61" r:id="rId1"/>
  <headerFooter alignWithMargins="0">
    <oddHeader>&amp;L&amp;F; &amp;A&amp;R&amp;D; &amp;T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30"/>
  <sheetViews>
    <sheetView zoomScalePageLayoutView="0" workbookViewId="0" topLeftCell="A1">
      <pane ySplit="3" topLeftCell="A4" activePane="bottomLeft" state="frozen"/>
      <selection pane="topLeft" activeCell="F43" sqref="F43"/>
      <selection pane="bottomLeft" activeCell="C5" sqref="C5:M5"/>
    </sheetView>
  </sheetViews>
  <sheetFormatPr defaultColWidth="11.421875" defaultRowHeight="12.75"/>
  <cols>
    <col min="1" max="1" width="2.7109375" style="476" customWidth="1"/>
    <col min="2" max="3" width="4.7109375" style="476" customWidth="1"/>
    <col min="4" max="13" width="12.7109375" style="476" customWidth="1"/>
    <col min="14" max="14" width="4.7109375" style="476" customWidth="1"/>
    <col min="15" max="16384" width="11.421875" style="476" customWidth="1"/>
  </cols>
  <sheetData>
    <row r="1" spans="1:14" s="18" customFormat="1" ht="13.5" thickBot="1">
      <c r="A1" s="859" t="str">
        <f>Translations!$B$433</f>
        <v>J. 
Comments (Коментари)</v>
      </c>
      <c r="B1" s="860"/>
      <c r="C1" s="861"/>
      <c r="D1" s="201" t="str">
        <f>Translations!$B$276</f>
        <v>Навигационно меню:</v>
      </c>
      <c r="E1" s="200"/>
      <c r="F1" s="661" t="str">
        <f>Translations!$B$290</f>
        <v>Съдържание</v>
      </c>
      <c r="G1" s="648"/>
      <c r="H1" s="648" t="str">
        <f>Translations!$B$291</f>
        <v>Предишен работен лист (sheet)</v>
      </c>
      <c r="I1" s="648"/>
      <c r="J1" s="648"/>
      <c r="K1" s="648"/>
      <c r="L1" s="648"/>
      <c r="M1" s="655"/>
      <c r="N1" s="9"/>
    </row>
    <row r="2" spans="1:14" s="18" customFormat="1" ht="13.5" thickBot="1">
      <c r="A2" s="862"/>
      <c r="B2" s="863"/>
      <c r="C2" s="864"/>
      <c r="D2" s="648" t="str">
        <f>Translations!$B$279</f>
        <v>Начало на работния лист</v>
      </c>
      <c r="E2" s="696"/>
      <c r="F2" s="644"/>
      <c r="G2" s="644"/>
      <c r="H2" s="644"/>
      <c r="I2" s="644"/>
      <c r="J2" s="644"/>
      <c r="K2" s="644"/>
      <c r="L2" s="644"/>
      <c r="M2" s="644"/>
      <c r="N2" s="9"/>
    </row>
    <row r="3" spans="1:14" s="18" customFormat="1" ht="13.5" thickBot="1">
      <c r="A3" s="865"/>
      <c r="B3" s="866"/>
      <c r="C3" s="867"/>
      <c r="D3" s="648" t="str">
        <f>Translations!$B$280</f>
        <v>Край на работния лист</v>
      </c>
      <c r="E3" s="648"/>
      <c r="F3" s="644"/>
      <c r="G3" s="644"/>
      <c r="H3" s="644"/>
      <c r="I3" s="644"/>
      <c r="J3" s="644"/>
      <c r="K3" s="644"/>
      <c r="L3" s="644"/>
      <c r="M3" s="644"/>
      <c r="N3" s="9"/>
    </row>
    <row r="4" spans="1:14" s="18" customFormat="1" ht="12.75">
      <c r="A4" s="5"/>
      <c r="B4" s="6"/>
      <c r="C4" s="7"/>
      <c r="D4" s="7"/>
      <c r="E4" s="8"/>
      <c r="F4" s="8"/>
      <c r="G4" s="8"/>
      <c r="H4" s="5"/>
      <c r="I4" s="5"/>
      <c r="J4" s="5"/>
      <c r="K4" s="5"/>
      <c r="L4" s="9"/>
      <c r="M4" s="9"/>
      <c r="N4" s="9"/>
    </row>
    <row r="5" spans="1:14" s="18" customFormat="1" ht="23.25" customHeight="1">
      <c r="A5" s="5"/>
      <c r="B5" s="11" t="s">
        <v>342</v>
      </c>
      <c r="C5" s="664" t="str">
        <f>Translations!$B$434</f>
        <v>Работен лист „Comments“ (Коментари) — КОМЕНТАРИ И ДОПЪЛНИТЕЛНА ИНФОРМАЦИЯ</v>
      </c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9"/>
    </row>
    <row r="6" spans="1:14" s="18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9"/>
      <c r="N6" s="9"/>
    </row>
    <row r="7" spans="1:14" s="18" customFormat="1" ht="15.75">
      <c r="A7" s="5"/>
      <c r="B7" s="12" t="s">
        <v>40</v>
      </c>
      <c r="C7" s="666" t="str">
        <f>Translations!$B$435</f>
        <v>Придружителни документи към настоящия доклад</v>
      </c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9"/>
    </row>
    <row r="8" spans="1:14" s="18" customFormat="1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9"/>
      <c r="M8" s="9"/>
      <c r="N8" s="9"/>
    </row>
    <row r="9" spans="1:14" s="18" customFormat="1" ht="15">
      <c r="A9" s="5"/>
      <c r="B9" s="16"/>
      <c r="C9" s="763" t="str">
        <f>Translations!$B$436</f>
        <v>Тук избройте всички документи, подадени заедно с настоящия доклад</v>
      </c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9"/>
    </row>
    <row r="10" spans="1:13" s="18" customFormat="1" ht="12.75">
      <c r="A10" s="5"/>
      <c r="B10" s="15"/>
      <c r="C10" s="737" t="str">
        <f>Translations!$B$437</f>
        <v>В подкрепа на настоящия доклад са необходими допълнителни документи. Винаги когато е възможно, представяйте тази информация в електронна форма.</v>
      </c>
      <c r="D10" s="688"/>
      <c r="E10" s="688"/>
      <c r="F10" s="688"/>
      <c r="G10" s="688"/>
      <c r="H10" s="688"/>
      <c r="I10" s="688"/>
      <c r="J10" s="688"/>
      <c r="K10" s="688"/>
      <c r="L10" s="688"/>
      <c r="M10" s="688"/>
    </row>
    <row r="11" spans="1:13" s="18" customFormat="1" ht="12.75">
      <c r="A11" s="5"/>
      <c r="B11" s="15"/>
      <c r="C11" s="737" t="str">
        <f>Translations!$B$438</f>
        <v>Можете да представяте информация във форматите за Microsoft Word, Excel или Adobe Acrobat.</v>
      </c>
      <c r="D11" s="688"/>
      <c r="E11" s="688"/>
      <c r="F11" s="688"/>
      <c r="G11" s="688"/>
      <c r="H11" s="688"/>
      <c r="I11" s="688"/>
      <c r="J11" s="688"/>
      <c r="K11" s="688"/>
      <c r="L11" s="688"/>
      <c r="M11" s="688"/>
    </row>
    <row r="12" spans="1:13" s="18" customFormat="1" ht="12.75">
      <c r="A12" s="5"/>
      <c r="B12" s="15"/>
      <c r="C12" s="737" t="str">
        <f>Translations!$B$439</f>
        <v>Не се приемат други файлови формати освен гореспоменатите.</v>
      </c>
      <c r="D12" s="688"/>
      <c r="E12" s="688"/>
      <c r="F12" s="688"/>
      <c r="G12" s="688"/>
      <c r="H12" s="688"/>
      <c r="I12" s="688"/>
      <c r="J12" s="688"/>
      <c r="K12" s="688"/>
      <c r="L12" s="688"/>
      <c r="M12" s="688"/>
    </row>
    <row r="13" spans="1:13" s="18" customFormat="1" ht="12.75">
      <c r="A13" s="5"/>
      <c r="B13" s="15"/>
      <c r="C13" s="737" t="str">
        <f>Translations!$B$440</f>
        <v>Към представената допълнителна документация следва да има ясни препратки, а името на файла / опознавателният код да бъде даден(о) по-долу. </v>
      </c>
      <c r="D13" s="688"/>
      <c r="E13" s="688"/>
      <c r="F13" s="688"/>
      <c r="G13" s="688"/>
      <c r="H13" s="688"/>
      <c r="I13" s="688"/>
      <c r="J13" s="688"/>
      <c r="K13" s="688"/>
      <c r="L13" s="688"/>
      <c r="M13" s="688"/>
    </row>
    <row r="14" spans="1:13" s="18" customFormat="1" ht="12.75">
      <c r="A14" s="5"/>
      <c r="B14" s="15"/>
      <c r="C14" s="737" t="str">
        <f>Translations!$B$441</f>
        <v>Съветваме ви да избягвате подаване на несъществена информация, тъй като тя може да забави одобряването на доклада. </v>
      </c>
      <c r="D14" s="688"/>
      <c r="E14" s="688"/>
      <c r="F14" s="688"/>
      <c r="G14" s="688"/>
      <c r="H14" s="688"/>
      <c r="I14" s="688"/>
      <c r="J14" s="688"/>
      <c r="K14" s="688"/>
      <c r="L14" s="688"/>
      <c r="M14" s="688"/>
    </row>
    <row r="15" spans="3:13" s="18" customFormat="1" ht="12.75">
      <c r="C15" s="734" t="str">
        <f>Translations!$B$442</f>
        <v>По-долу посочете име(на) на файлове (ако са в електронна форма) или опознавателен(ни) код(ове) (ако са на хартия):</v>
      </c>
      <c r="D15" s="688"/>
      <c r="E15" s="688"/>
      <c r="F15" s="688"/>
      <c r="G15" s="688"/>
      <c r="H15" s="688"/>
      <c r="I15" s="688"/>
      <c r="J15" s="688"/>
      <c r="K15" s="688"/>
      <c r="L15" s="688"/>
      <c r="M15" s="688"/>
    </row>
    <row r="16" spans="1:14" s="18" customFormat="1" ht="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9"/>
      <c r="N16" s="9"/>
    </row>
    <row r="17" spans="4:13" s="18" customFormat="1" ht="12.75">
      <c r="D17" s="22" t="str">
        <f>Translations!$B$443</f>
        <v>Име на файл/код</v>
      </c>
      <c r="E17" s="109"/>
      <c r="F17" s="22" t="str">
        <f>Translations!$B$444</f>
        <v>Описание на документа</v>
      </c>
      <c r="G17" s="22"/>
      <c r="H17" s="22"/>
      <c r="I17" s="22"/>
      <c r="J17" s="22"/>
      <c r="K17" s="22"/>
      <c r="L17" s="20"/>
      <c r="M17" s="20"/>
    </row>
    <row r="18" spans="4:13" s="18" customFormat="1" ht="12.75">
      <c r="D18" s="1019"/>
      <c r="E18" s="1020"/>
      <c r="F18" s="1021"/>
      <c r="G18" s="1022"/>
      <c r="H18" s="1022"/>
      <c r="I18" s="1022"/>
      <c r="J18" s="1022"/>
      <c r="K18" s="1022"/>
      <c r="L18" s="1022"/>
      <c r="M18" s="1022"/>
    </row>
    <row r="19" spans="4:13" s="18" customFormat="1" ht="12.75">
      <c r="D19" s="1011"/>
      <c r="E19" s="1012"/>
      <c r="F19" s="1013"/>
      <c r="G19" s="1014"/>
      <c r="H19" s="1014"/>
      <c r="I19" s="1014"/>
      <c r="J19" s="1014"/>
      <c r="K19" s="1014"/>
      <c r="L19" s="1014"/>
      <c r="M19" s="1014"/>
    </row>
    <row r="20" spans="4:13" s="18" customFormat="1" ht="12.75">
      <c r="D20" s="1011"/>
      <c r="E20" s="1012"/>
      <c r="F20" s="1013"/>
      <c r="G20" s="1014"/>
      <c r="H20" s="1014"/>
      <c r="I20" s="1014"/>
      <c r="J20" s="1014"/>
      <c r="K20" s="1014"/>
      <c r="L20" s="1014"/>
      <c r="M20" s="1014"/>
    </row>
    <row r="21" spans="4:13" s="18" customFormat="1" ht="12.75">
      <c r="D21" s="1011"/>
      <c r="E21" s="1012"/>
      <c r="F21" s="1013"/>
      <c r="G21" s="1014"/>
      <c r="H21" s="1014"/>
      <c r="I21" s="1014"/>
      <c r="J21" s="1014"/>
      <c r="K21" s="1014"/>
      <c r="L21" s="1014"/>
      <c r="M21" s="1014"/>
    </row>
    <row r="22" spans="4:13" s="18" customFormat="1" ht="12.75">
      <c r="D22" s="1011"/>
      <c r="E22" s="1012"/>
      <c r="F22" s="1013"/>
      <c r="G22" s="1014"/>
      <c r="H22" s="1014"/>
      <c r="I22" s="1014"/>
      <c r="J22" s="1014"/>
      <c r="K22" s="1014"/>
      <c r="L22" s="1014"/>
      <c r="M22" s="1014"/>
    </row>
    <row r="23" spans="4:13" s="18" customFormat="1" ht="12.75">
      <c r="D23" s="1011"/>
      <c r="E23" s="1012"/>
      <c r="F23" s="1013"/>
      <c r="G23" s="1014"/>
      <c r="H23" s="1014"/>
      <c r="I23" s="1014"/>
      <c r="J23" s="1014"/>
      <c r="K23" s="1014"/>
      <c r="L23" s="1014"/>
      <c r="M23" s="1014"/>
    </row>
    <row r="24" spans="4:13" s="18" customFormat="1" ht="12.75">
      <c r="D24" s="1011"/>
      <c r="E24" s="1012"/>
      <c r="F24" s="1013"/>
      <c r="G24" s="1014"/>
      <c r="H24" s="1014"/>
      <c r="I24" s="1014"/>
      <c r="J24" s="1014"/>
      <c r="K24" s="1014"/>
      <c r="L24" s="1014"/>
      <c r="M24" s="1014"/>
    </row>
    <row r="25" spans="4:13" s="18" customFormat="1" ht="12.75">
      <c r="D25" s="1011"/>
      <c r="E25" s="1012"/>
      <c r="F25" s="1013"/>
      <c r="G25" s="1014"/>
      <c r="H25" s="1014"/>
      <c r="I25" s="1014"/>
      <c r="J25" s="1014"/>
      <c r="K25" s="1014"/>
      <c r="L25" s="1014"/>
      <c r="M25" s="1014"/>
    </row>
    <row r="26" spans="4:13" s="18" customFormat="1" ht="12.75">
      <c r="D26" s="1015"/>
      <c r="E26" s="1016"/>
      <c r="F26" s="1017"/>
      <c r="G26" s="1018"/>
      <c r="H26" s="1018"/>
      <c r="I26" s="1018"/>
      <c r="J26" s="1018"/>
      <c r="K26" s="1018"/>
      <c r="L26" s="1018"/>
      <c r="M26" s="1018"/>
    </row>
    <row r="27" s="18" customFormat="1" ht="12.75"/>
    <row r="28" spans="1:14" s="18" customFormat="1" ht="15.75">
      <c r="A28" s="5"/>
      <c r="B28" s="12" t="s">
        <v>70</v>
      </c>
      <c r="C28" s="666" t="str">
        <f>Translations!$B$445</f>
        <v>Свободно място за всякаква друга допълнителна информация</v>
      </c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9"/>
    </row>
    <row r="29" spans="1:14" s="18" customFormat="1" ht="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9"/>
      <c r="M29" s="9"/>
      <c r="N29" s="9"/>
    </row>
    <row r="30" spans="1:14" s="18" customFormat="1" ht="30" customHeight="1">
      <c r="A30" s="5"/>
      <c r="B30" s="68"/>
      <c r="C30" s="1010" t="str">
        <f>Translations!$B$446</f>
        <v>В полето по-долу можете да въведете всякаква информация, която не сте могли да въведете в другите работни листове, но която считате са важна за компетентния орган</v>
      </c>
      <c r="D30" s="1010"/>
      <c r="E30" s="1010"/>
      <c r="F30" s="1010"/>
      <c r="G30" s="1010"/>
      <c r="H30" s="1010"/>
      <c r="I30" s="1010"/>
      <c r="J30" s="1010"/>
      <c r="K30" s="1010"/>
      <c r="L30" s="1010"/>
      <c r="M30" s="1010"/>
      <c r="N30" s="9"/>
    </row>
  </sheetData>
  <sheetProtection sheet="1" objects="1" scenarios="1" formatCells="0" formatColumns="0" formatRows="0"/>
  <mergeCells count="44">
    <mergeCell ref="C11:M11"/>
    <mergeCell ref="C12:M12"/>
    <mergeCell ref="D19:E19"/>
    <mergeCell ref="F24:M24"/>
    <mergeCell ref="D23:E23"/>
    <mergeCell ref="F19:M19"/>
    <mergeCell ref="F22:M22"/>
    <mergeCell ref="F26:M26"/>
    <mergeCell ref="C13:M13"/>
    <mergeCell ref="C14:M14"/>
    <mergeCell ref="C15:M15"/>
    <mergeCell ref="D20:E20"/>
    <mergeCell ref="F20:M20"/>
    <mergeCell ref="D18:E18"/>
    <mergeCell ref="F18:M18"/>
    <mergeCell ref="A1:C3"/>
    <mergeCell ref="J1:K1"/>
    <mergeCell ref="D3:E3"/>
    <mergeCell ref="L1:M1"/>
    <mergeCell ref="F3:G3"/>
    <mergeCell ref="H3:I3"/>
    <mergeCell ref="F1:G1"/>
    <mergeCell ref="H1:I1"/>
    <mergeCell ref="L2:M2"/>
    <mergeCell ref="C10:M10"/>
    <mergeCell ref="J3:K3"/>
    <mergeCell ref="C7:M7"/>
    <mergeCell ref="D2:E2"/>
    <mergeCell ref="F2:G2"/>
    <mergeCell ref="H2:I2"/>
    <mergeCell ref="J2:K2"/>
    <mergeCell ref="C5:M5"/>
    <mergeCell ref="C9:M9"/>
    <mergeCell ref="L3:M3"/>
    <mergeCell ref="C30:M30"/>
    <mergeCell ref="D25:E25"/>
    <mergeCell ref="F25:M25"/>
    <mergeCell ref="D21:E21"/>
    <mergeCell ref="F21:M21"/>
    <mergeCell ref="D22:E22"/>
    <mergeCell ref="F23:M23"/>
    <mergeCell ref="D24:E24"/>
    <mergeCell ref="C28:M28"/>
    <mergeCell ref="D26:E26"/>
  </mergeCells>
  <hyperlinks>
    <hyperlink ref="F1:G1" location="JUMP_TOC_Home" display="Table of contents"/>
    <hyperlink ref="D2:E2" location="JUMP_J_Top" display="Top of sheet"/>
    <hyperlink ref="D3:E3" location="JUMP_J_II" display="End of sheet"/>
    <hyperlink ref="H1:I1" location="JUMP_I_Top" display="Previous sheet"/>
  </hyperlinks>
  <printOptions/>
  <pageMargins left="0.7874015748031497" right="0.7874015748031497" top="0.7874015748031497" bottom="0.7874015748031497" header="0.5118110236220472" footer="0.5118110236220472"/>
  <pageSetup fitToHeight="10" fitToWidth="1" horizontalDpi="600" verticalDpi="600" orientation="portrait" paperSize="9" scale="61" r:id="rId1"/>
  <headerFooter alignWithMargins="0">
    <oddHeader>&amp;L&amp;F; &amp;A&amp;R&amp;D; &amp;T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F37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421875" style="82" customWidth="1"/>
    <col min="2" max="4" width="11.421875" style="82" customWidth="1"/>
    <col min="5" max="5" width="9.140625" style="82" customWidth="1"/>
    <col min="6" max="17" width="11.421875" style="82" customWidth="1"/>
    <col min="18" max="18" width="9.140625" style="82" customWidth="1"/>
    <col min="19" max="16384" width="11.421875" style="82" customWidth="1"/>
  </cols>
  <sheetData>
    <row r="1" spans="1:8" ht="12.75">
      <c r="A1" s="114" t="str">
        <f>Translations!$B$485</f>
        <v>Наименование</v>
      </c>
      <c r="B1" s="114" t="str">
        <f>Translations!$B$486</f>
        <v>Константа</v>
      </c>
      <c r="C1" s="114" t="str">
        <f>Translations!$B$487</f>
        <v>Допълнителни константи</v>
      </c>
      <c r="D1" s="115"/>
      <c r="E1" s="115"/>
      <c r="F1" s="115"/>
      <c r="G1" s="115"/>
      <c r="H1" s="115"/>
    </row>
    <row r="2" spans="1:11" ht="12.75">
      <c r="A2" s="301" t="s">
        <v>68</v>
      </c>
      <c r="B2" s="116">
        <v>2011</v>
      </c>
      <c r="C2" s="116">
        <v>2012</v>
      </c>
      <c r="D2" s="116">
        <v>2013</v>
      </c>
      <c r="E2" s="116">
        <v>2014</v>
      </c>
      <c r="F2" s="116">
        <v>2015</v>
      </c>
      <c r="G2" s="116">
        <v>2016</v>
      </c>
      <c r="H2" s="116">
        <v>2017</v>
      </c>
      <c r="I2" s="116">
        <v>2018</v>
      </c>
      <c r="J2" s="116">
        <v>2019</v>
      </c>
      <c r="K2" s="116">
        <v>2020</v>
      </c>
    </row>
    <row r="3" spans="1:32" ht="12.75">
      <c r="A3" s="301" t="s">
        <v>546</v>
      </c>
      <c r="B3" s="116">
        <v>1</v>
      </c>
      <c r="C3" s="116">
        <v>2</v>
      </c>
      <c r="D3" s="116">
        <v>3</v>
      </c>
      <c r="E3" s="116">
        <v>4</v>
      </c>
      <c r="F3" s="116">
        <v>5</v>
      </c>
      <c r="G3" s="116">
        <v>6</v>
      </c>
      <c r="H3" s="116">
        <v>7</v>
      </c>
      <c r="I3" s="116">
        <v>8</v>
      </c>
      <c r="J3" s="116">
        <v>9</v>
      </c>
      <c r="K3" s="116">
        <v>10</v>
      </c>
      <c r="L3" s="116">
        <v>11</v>
      </c>
      <c r="M3" s="116">
        <v>12</v>
      </c>
      <c r="N3" s="116">
        <v>13</v>
      </c>
      <c r="O3" s="116">
        <v>14</v>
      </c>
      <c r="P3" s="116">
        <v>15</v>
      </c>
      <c r="Q3" s="116">
        <v>16</v>
      </c>
      <c r="R3" s="116">
        <v>17</v>
      </c>
      <c r="S3" s="116">
        <v>18</v>
      </c>
      <c r="T3" s="116">
        <v>19</v>
      </c>
      <c r="U3" s="116">
        <v>20</v>
      </c>
      <c r="V3" s="116">
        <v>21</v>
      </c>
      <c r="W3" s="116">
        <v>22</v>
      </c>
      <c r="X3" s="116">
        <v>23</v>
      </c>
      <c r="Y3" s="116">
        <v>24</v>
      </c>
      <c r="Z3" s="116">
        <v>25</v>
      </c>
      <c r="AA3" s="116">
        <v>26</v>
      </c>
      <c r="AB3" s="116">
        <v>27</v>
      </c>
      <c r="AC3" s="116">
        <v>28</v>
      </c>
      <c r="AD3" s="116">
        <v>29</v>
      </c>
      <c r="AE3" s="116">
        <v>30</v>
      </c>
      <c r="AF3" s="116">
        <v>31</v>
      </c>
    </row>
    <row r="4" spans="1:13" ht="12.75">
      <c r="A4" s="301" t="s">
        <v>547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</row>
    <row r="5" spans="1:7" ht="12.75">
      <c r="A5" s="82" t="s">
        <v>259</v>
      </c>
      <c r="B5" s="116" t="s">
        <v>260</v>
      </c>
      <c r="C5" s="116" t="s">
        <v>261</v>
      </c>
      <c r="D5" s="83"/>
      <c r="E5" s="83"/>
      <c r="F5" s="83"/>
      <c r="G5" s="83"/>
    </row>
    <row r="6" spans="1:3" ht="12.75">
      <c r="A6" s="82" t="s">
        <v>38</v>
      </c>
      <c r="B6" s="116" t="b">
        <v>1</v>
      </c>
      <c r="C6" s="116" t="b">
        <v>0</v>
      </c>
    </row>
    <row r="7" spans="1:4" ht="12.75">
      <c r="A7" s="82" t="s">
        <v>39</v>
      </c>
      <c r="B7" s="116" t="b">
        <v>1</v>
      </c>
      <c r="C7" s="116" t="b">
        <v>0</v>
      </c>
      <c r="D7" s="117" t="str">
        <f>EUconst_NA</f>
        <v>Не е приложимо</v>
      </c>
    </row>
    <row r="8" spans="1:3" ht="12.75">
      <c r="A8" s="82" t="s">
        <v>234</v>
      </c>
      <c r="B8" s="116" t="str">
        <f>Translations!B3</f>
        <v>Абсолютни стойности</v>
      </c>
      <c r="C8" s="116" t="str">
        <f>Translations!B4</f>
        <v>Процентни стойности</v>
      </c>
    </row>
    <row r="9" spans="1:4" ht="12.75">
      <c r="A9" s="301" t="s">
        <v>88</v>
      </c>
      <c r="B9" s="295" t="str">
        <f>Translations!$B$488</f>
        <v>Обща активност</v>
      </c>
      <c r="C9" s="295" t="str">
        <f>Translations!$B$489</f>
        <v>във връзка с добавения капацитет</v>
      </c>
      <c r="D9" s="293" t="s">
        <v>279</v>
      </c>
    </row>
    <row r="10" spans="1:4" ht="12.75">
      <c r="A10" s="301" t="s">
        <v>506</v>
      </c>
      <c r="B10" s="295" t="str">
        <f>Translations!$B$459</f>
        <v>За частни жилища</v>
      </c>
      <c r="C10" s="293" t="s">
        <v>279</v>
      </c>
      <c r="D10" s="293"/>
    </row>
    <row r="11" spans="1:4" ht="12.75">
      <c r="A11" s="301" t="s">
        <v>103</v>
      </c>
      <c r="B11" s="295" t="str">
        <f>Translations!$B$490</f>
        <v>Окончателно общо безплатно отпуснато количество квоти</v>
      </c>
      <c r="C11" s="293" t="s">
        <v>279</v>
      </c>
      <c r="D11" s="293"/>
    </row>
    <row r="12" spans="1:2" ht="12.75">
      <c r="A12" s="82" t="s">
        <v>480</v>
      </c>
      <c r="B12" s="116" t="str">
        <f>Translations!$B$2</f>
        <v>Не е приложимо</v>
      </c>
    </row>
    <row r="13" spans="1:2" ht="12.75">
      <c r="A13" s="82" t="s">
        <v>89</v>
      </c>
      <c r="B13" s="116" t="s">
        <v>90</v>
      </c>
    </row>
    <row r="14" spans="1:2" ht="12.75">
      <c r="A14" s="82" t="s">
        <v>111</v>
      </c>
      <c r="B14" s="116" t="str">
        <f>Translations!B5</f>
        <v>Единица мярка</v>
      </c>
    </row>
    <row r="15" spans="1:2" ht="12.75">
      <c r="A15" s="82" t="s">
        <v>326</v>
      </c>
      <c r="B15" s="116" t="str">
        <f>Translations!B6</f>
        <v>Месец</v>
      </c>
    </row>
    <row r="16" spans="1:2" ht="12.75">
      <c r="A16" s="82" t="s">
        <v>412</v>
      </c>
      <c r="B16" s="116" t="str">
        <f>Translations!B7</f>
        <v>Гориво</v>
      </c>
    </row>
    <row r="17" spans="1:2" ht="12.75">
      <c r="A17" s="82" t="s">
        <v>256</v>
      </c>
      <c r="B17" s="116" t="str">
        <f>Translations!B8</f>
        <v>Показател</v>
      </c>
    </row>
    <row r="18" spans="1:3" ht="12.75">
      <c r="A18" s="82" t="s">
        <v>239</v>
      </c>
      <c r="B18" s="116" t="str">
        <f>Translations!$B$402</f>
        <v>Подинсталация</v>
      </c>
      <c r="C18" s="293" t="s">
        <v>279</v>
      </c>
    </row>
    <row r="19" spans="1:2" ht="12.75">
      <c r="A19" s="82" t="s">
        <v>413</v>
      </c>
      <c r="B19" s="116" t="str">
        <f>Translations!B9</f>
        <v>Източник на технологични емисии</v>
      </c>
    </row>
    <row r="20" spans="1:2" ht="12.75">
      <c r="A20" s="82" t="s">
        <v>503</v>
      </c>
      <c r="B20" s="116" t="str">
        <f>Translations!B10</f>
        <v>Компонент в масовия баланс</v>
      </c>
    </row>
    <row r="21" spans="1:2" ht="12.75">
      <c r="A21" s="82" t="s">
        <v>504</v>
      </c>
      <c r="B21" s="116" t="str">
        <f>Translations!B11</f>
        <v>Източник със система за непрекъснато измерване на емисиите (CEMS)</v>
      </c>
    </row>
    <row r="22" spans="1:2" ht="12.75">
      <c r="A22" s="82" t="s">
        <v>505</v>
      </c>
      <c r="B22" s="116" t="str">
        <f>Translations!B12</f>
        <v>Източник на N2O</v>
      </c>
    </row>
    <row r="23" spans="1:2" ht="12.75">
      <c r="A23" s="82" t="s">
        <v>311</v>
      </c>
      <c r="B23" s="116" t="str">
        <f>Translations!B13</f>
        <v>Източник на перфлуоровъглеводороди (PFC)</v>
      </c>
    </row>
    <row r="24" spans="1:2" ht="12.75">
      <c r="A24" s="82" t="s">
        <v>312</v>
      </c>
      <c r="B24" s="116" t="str">
        <f>Translations!B14</f>
        <v>Прехвърлени или съхранявани емисии</v>
      </c>
    </row>
    <row r="25" spans="1:2" ht="12.75">
      <c r="A25" s="82" t="s">
        <v>327</v>
      </c>
      <c r="B25" s="116" t="str">
        <f>Translations!B15</f>
        <v>Подинсталация с продуктов показател</v>
      </c>
    </row>
    <row r="26" spans="1:2" ht="12.75">
      <c r="A26" s="82" t="s">
        <v>429</v>
      </c>
      <c r="B26" s="116" t="str">
        <f>Translations!B16</f>
        <v>Подинсталация с непряко определяне на емисиите</v>
      </c>
    </row>
    <row r="27" spans="1:2" ht="12.75">
      <c r="A27" s="87" t="s">
        <v>54</v>
      </c>
      <c r="B27" s="116" t="str">
        <f>Translations!B17</f>
        <v>година</v>
      </c>
    </row>
    <row r="28" spans="1:3" ht="12.75">
      <c r="A28" s="285" t="s">
        <v>3</v>
      </c>
      <c r="B28" s="295" t="str">
        <f>Translations!$B$6</f>
        <v>Месец</v>
      </c>
      <c r="C28" s="293" t="s">
        <v>279</v>
      </c>
    </row>
    <row r="29" spans="1:2" ht="12.75">
      <c r="A29" s="87" t="s">
        <v>55</v>
      </c>
      <c r="B29" s="116" t="str">
        <f>Translations!B18</f>
        <v>тона</v>
      </c>
    </row>
    <row r="30" spans="1:2" ht="12.75">
      <c r="A30" s="87" t="s">
        <v>485</v>
      </c>
      <c r="B30" s="116" t="s">
        <v>483</v>
      </c>
    </row>
    <row r="31" spans="1:2" ht="12.75">
      <c r="A31" s="87" t="s">
        <v>112</v>
      </c>
      <c r="B31" s="116" t="s">
        <v>113</v>
      </c>
    </row>
    <row r="32" spans="1:7" ht="12.75">
      <c r="A32" s="87" t="s">
        <v>486</v>
      </c>
      <c r="B32" s="116" t="s">
        <v>484</v>
      </c>
      <c r="C32" s="87"/>
      <c r="D32" s="87"/>
      <c r="E32" s="87"/>
      <c r="F32" s="87"/>
      <c r="G32" s="87"/>
    </row>
    <row r="33" spans="1:7" ht="12.75">
      <c r="A33" s="87" t="s">
        <v>118</v>
      </c>
      <c r="B33" s="116" t="s">
        <v>119</v>
      </c>
      <c r="C33" s="87"/>
      <c r="D33" s="87"/>
      <c r="E33" s="87"/>
      <c r="F33" s="87"/>
      <c r="G33" s="87"/>
    </row>
    <row r="34" spans="1:7" ht="12.75">
      <c r="A34" s="87" t="s">
        <v>120</v>
      </c>
      <c r="B34" s="116" t="s">
        <v>121</v>
      </c>
      <c r="C34" s="87"/>
      <c r="D34" s="87"/>
      <c r="E34" s="87"/>
      <c r="F34" s="87"/>
      <c r="G34" s="87"/>
    </row>
    <row r="35" spans="1:2" ht="12.75">
      <c r="A35" s="87" t="s">
        <v>154</v>
      </c>
      <c r="B35" s="116" t="str">
        <f>EUconst_TJ&amp;" / "&amp;EUconst_Year</f>
        <v>TJ / година</v>
      </c>
    </row>
    <row r="36" spans="1:2" ht="12.75">
      <c r="A36" s="87" t="s">
        <v>114</v>
      </c>
      <c r="B36" s="116" t="s">
        <v>115</v>
      </c>
    </row>
    <row r="37" spans="1:2" ht="12.75">
      <c r="A37" s="87" t="s">
        <v>148</v>
      </c>
      <c r="B37" s="116" t="str">
        <f>EUconst_MWh&amp;" / "&amp;EUconst_Year</f>
        <v>MWh / година</v>
      </c>
    </row>
    <row r="38" spans="1:2" ht="12.75">
      <c r="A38" s="87" t="s">
        <v>116</v>
      </c>
      <c r="B38" s="116" t="s">
        <v>117</v>
      </c>
    </row>
    <row r="39" spans="1:2" ht="12.75">
      <c r="A39" s="87" t="s">
        <v>149</v>
      </c>
      <c r="B39" s="116" t="str">
        <f>EUconst_t&amp;" / "&amp;EUconst_Year</f>
        <v>t / година</v>
      </c>
    </row>
    <row r="40" spans="1:2" ht="12.75">
      <c r="A40" s="87" t="s">
        <v>91</v>
      </c>
      <c r="B40" s="116" t="str">
        <f>EUconst_EUA&amp;" / "&amp;EUconst_Year</f>
        <v>EUA / година</v>
      </c>
    </row>
    <row r="41" spans="1:2" ht="12.75">
      <c r="A41" s="87" t="s">
        <v>92</v>
      </c>
      <c r="B41" s="116" t="str">
        <f>EUconst_EUA&amp;" / "&amp;EUconst_t</f>
        <v>EUA / t</v>
      </c>
    </row>
    <row r="42" spans="1:2" ht="12.75">
      <c r="A42" s="87" t="s">
        <v>150</v>
      </c>
      <c r="B42" s="116" t="str">
        <f>EUconst_GJ&amp;" / "&amp;EUconst_t</f>
        <v>GJ / t</v>
      </c>
    </row>
    <row r="43" spans="1:2" ht="12.75">
      <c r="A43" s="87" t="s">
        <v>313</v>
      </c>
      <c r="B43" s="116" t="str">
        <f>EUconst_GJ&amp;" / "&amp;EUconst_Year</f>
        <v>GJ / година</v>
      </c>
    </row>
    <row r="44" spans="1:2" ht="12.75">
      <c r="A44" s="87" t="s">
        <v>151</v>
      </c>
      <c r="B44" s="116" t="str">
        <f>EUconst_tCO2&amp;" / "&amp;EUconst_TJ</f>
        <v>t CO2 / TJ</v>
      </c>
    </row>
    <row r="45" spans="1:2" ht="12.75">
      <c r="A45" s="87" t="s">
        <v>152</v>
      </c>
      <c r="B45" s="116" t="str">
        <f>EUconst_tCO2&amp;" / "&amp;EUconst_Year</f>
        <v>t CO2 / година</v>
      </c>
    </row>
    <row r="46" spans="1:2" ht="12.75">
      <c r="A46" s="87" t="s">
        <v>153</v>
      </c>
      <c r="B46" s="116" t="str">
        <f>EUconst_tCO2&amp;" / "&amp;EUconst_t</f>
        <v>t CO2 / t</v>
      </c>
    </row>
    <row r="47" spans="1:2" ht="12.75">
      <c r="A47" s="87" t="s">
        <v>155</v>
      </c>
      <c r="B47" s="116" t="str">
        <f>EUconst_tN2O&amp;" / "&amp;EUconst_Year</f>
        <v>t N2O / година</v>
      </c>
    </row>
    <row r="48" spans="1:2" ht="12.75">
      <c r="A48" s="87" t="s">
        <v>156</v>
      </c>
      <c r="B48" s="116" t="s">
        <v>72</v>
      </c>
    </row>
    <row r="49" spans="1:2" ht="12.75">
      <c r="A49" s="87" t="s">
        <v>157</v>
      </c>
      <c r="B49" s="116" t="str">
        <f>EUconst_tCO2e&amp;"/"&amp;EUconst_Year</f>
        <v>t CO2e/година</v>
      </c>
    </row>
    <row r="50" spans="1:2" ht="12.75">
      <c r="A50" s="87" t="s">
        <v>158</v>
      </c>
      <c r="B50" s="116" t="s">
        <v>283</v>
      </c>
    </row>
    <row r="51" spans="1:2" ht="12.75">
      <c r="A51" s="87" t="s">
        <v>159</v>
      </c>
      <c r="B51" s="116" t="s">
        <v>284</v>
      </c>
    </row>
    <row r="52" spans="1:2" ht="12.75">
      <c r="A52" s="87" t="s">
        <v>160</v>
      </c>
      <c r="B52" s="116" t="s">
        <v>286</v>
      </c>
    </row>
    <row r="53" spans="1:2" ht="12.75">
      <c r="A53" s="87" t="s">
        <v>161</v>
      </c>
      <c r="B53" s="116" t="s">
        <v>287</v>
      </c>
    </row>
    <row r="54" spans="1:2" ht="12.75">
      <c r="A54" s="87" t="s">
        <v>162</v>
      </c>
      <c r="B54" s="116" t="s">
        <v>288</v>
      </c>
    </row>
    <row r="55" spans="1:2" ht="12.75">
      <c r="A55" s="87" t="s">
        <v>163</v>
      </c>
      <c r="B55" s="116" t="s">
        <v>71</v>
      </c>
    </row>
    <row r="56" spans="1:2" ht="12.75">
      <c r="A56" s="87" t="s">
        <v>164</v>
      </c>
      <c r="B56" s="116" t="str">
        <f>EUconst_tCO2e&amp;"/"&amp;EUconst_t</f>
        <v>t CO2e/t</v>
      </c>
    </row>
    <row r="57" spans="1:2" ht="12.75">
      <c r="A57" s="87" t="s">
        <v>122</v>
      </c>
      <c r="B57" s="116" t="str">
        <f>Translations!$B$19</f>
        <v>или</v>
      </c>
    </row>
    <row r="58" spans="1:3" ht="12.75">
      <c r="A58" s="87" t="s">
        <v>165</v>
      </c>
      <c r="B58" s="116" t="str">
        <f>"% "&amp;EUconst_Or&amp;" "&amp;EUconst_TJ</f>
        <v>% или TJ</v>
      </c>
      <c r="C58" s="293" t="s">
        <v>0</v>
      </c>
    </row>
    <row r="59" spans="1:3" ht="12.75">
      <c r="A59" s="87" t="s">
        <v>335</v>
      </c>
      <c r="B59" s="116" t="str">
        <f>"% "&amp;EUconst_Or&amp;" "&amp;EUconst_MWh</f>
        <v>% или MWh</v>
      </c>
      <c r="C59" s="293" t="s">
        <v>0</v>
      </c>
    </row>
    <row r="60" spans="1:3" ht="12.75">
      <c r="A60" s="87" t="s">
        <v>336</v>
      </c>
      <c r="B60" s="116" t="str">
        <f>"% "&amp;EUconst_Or&amp;" "&amp;EUconst_tCO2e</f>
        <v>% или t CO2e</v>
      </c>
      <c r="C60" s="293" t="s">
        <v>0</v>
      </c>
    </row>
    <row r="61" spans="1:5" ht="12.75">
      <c r="A61" s="285" t="s">
        <v>414</v>
      </c>
      <c r="B61" s="295" t="str">
        <f>Translations!$B$491</f>
        <v>Значителни увеличения на капацитета (член 20 от Решение № 2011/278/ЕС) и/или намаления (член 21 от Решение № 2011/278/ЕС)</v>
      </c>
      <c r="C61" s="295" t="str">
        <f>Translations!$B$492</f>
        <v>Прекратяване на експлоатацията на инсталацията като цяло (член 22 от Решение № 2011/278/ЕС)</v>
      </c>
      <c r="D61" s="295" t="str">
        <f>Translations!$B$493</f>
        <v>Частични прекратявания на експлоатацията и/или възобновяване след частични спирания (член 23 от Решение № 2011/278/ЕС)</v>
      </c>
      <c r="E61" s="293" t="s">
        <v>279</v>
      </c>
    </row>
    <row r="62" spans="1:5" ht="12.75">
      <c r="A62" s="285" t="s">
        <v>242</v>
      </c>
      <c r="B62" s="284" t="str">
        <f>Translations!$B$494</f>
        <v>Инсталацията е новоизградена и подава заявка за предоставяне на квоти за нов участник в съответствие с член 17 от Решение № 2011/278/ЕС.</v>
      </c>
      <c r="C62" s="283" t="s">
        <v>279</v>
      </c>
      <c r="D62" s="341"/>
      <c r="E62" s="293"/>
    </row>
    <row r="63" spans="1:7" ht="12.75">
      <c r="A63" s="285" t="s">
        <v>281</v>
      </c>
      <c r="B63" s="295" t="str">
        <f>Translations!$B$495</f>
        <v>първа подинсталация на новосъздадена инсталация</v>
      </c>
      <c r="C63" s="295" t="str">
        <f>Translations!$B$496</f>
        <v>значително увеличение на капацитета</v>
      </c>
      <c r="D63" s="295" t="str">
        <f>Translations!$B$497</f>
        <v>значително намаление на капацитета</v>
      </c>
      <c r="E63" s="295" t="str">
        <f>Translations!$B$498</f>
        <v>частично спиране</v>
      </c>
      <c r="F63" s="295" t="str">
        <f>Translations!$B$499</f>
        <v>възобновяване след частично спиране</v>
      </c>
      <c r="G63" s="293" t="s">
        <v>279</v>
      </c>
    </row>
    <row r="64" spans="1:8" ht="12.75">
      <c r="A64" s="285" t="s">
        <v>6</v>
      </c>
      <c r="B64" s="295" t="str">
        <f>B63</f>
        <v>първа подинсталация на новосъздадена инсталация</v>
      </c>
      <c r="C64" s="295" t="str">
        <f>C63</f>
        <v>значително увеличение на капацитета</v>
      </c>
      <c r="D64" s="295" t="str">
        <f>D63</f>
        <v>значително намаление на капацитета</v>
      </c>
      <c r="E64" s="295" t="str">
        <f>E63</f>
        <v>частично спиране</v>
      </c>
      <c r="F64" s="295" t="str">
        <f>F63</f>
        <v>възобновяване след частично спиране</v>
      </c>
      <c r="G64" s="295" t="str">
        <f>Translations!$B$500</f>
        <v> —</v>
      </c>
      <c r="H64" s="293" t="s">
        <v>279</v>
      </c>
    </row>
    <row r="65" spans="1:8" ht="12.75">
      <c r="A65" s="285" t="s">
        <v>25</v>
      </c>
      <c r="B65" s="295" t="str">
        <f>C64</f>
        <v>значително увеличение на капацитета</v>
      </c>
      <c r="C65" s="295" t="str">
        <f>D64</f>
        <v>значително намаление на капацитета</v>
      </c>
      <c r="D65" s="295" t="str">
        <f>E64</f>
        <v>частично спиране</v>
      </c>
      <c r="E65" s="295" t="str">
        <f>F64</f>
        <v>възобновяване след частично спиране</v>
      </c>
      <c r="F65" s="293" t="s">
        <v>279</v>
      </c>
      <c r="G65" s="293"/>
      <c r="H65" s="293"/>
    </row>
    <row r="66" spans="1:8" ht="12.75">
      <c r="A66" s="285" t="s">
        <v>24</v>
      </c>
      <c r="B66" s="295" t="str">
        <f>Translations!$B$459</f>
        <v>За частни жилища</v>
      </c>
      <c r="C66" s="295" t="str">
        <f>Translations!$B$501</f>
        <v>Етап преди започване</v>
      </c>
      <c r="D66" s="293" t="s">
        <v>279</v>
      </c>
      <c r="H66" s="293"/>
    </row>
    <row r="67" spans="1:8" ht="12.75">
      <c r="A67" s="285" t="s">
        <v>37</v>
      </c>
      <c r="B67" s="295" t="str">
        <f>Translations!$B$502</f>
        <v>Начало на нормална експлоатация (член 3, буква н) от Решение № 2011/278/ЕС)</v>
      </c>
      <c r="C67" s="295" t="str">
        <f>Translations!$B$503</f>
        <v>Начало на променена експлоатация (член 3, буква о) от Решение № 2011/278/ЕС)</v>
      </c>
      <c r="D67" s="293" t="s">
        <v>279</v>
      </c>
      <c r="H67" s="293"/>
    </row>
    <row r="68" spans="1:8" ht="12.75">
      <c r="A68" s="285" t="s">
        <v>320</v>
      </c>
      <c r="B68" s="295" t="str">
        <f>Translations!$B$504</f>
        <v>Двете най-високи нива на активност за 30-дневен период</v>
      </c>
      <c r="C68" s="295" t="str">
        <f>Translations!$B$505</f>
        <v>Двете най-високи нива на активност за календарен месец </v>
      </c>
      <c r="D68" s="293" t="s">
        <v>279</v>
      </c>
      <c r="H68" s="293"/>
    </row>
    <row r="69" spans="1:8" ht="12.75">
      <c r="A69" s="87" t="s">
        <v>240</v>
      </c>
      <c r="B69" s="116" t="str">
        <f>Translations!B20</f>
        <v>Инсталация в обхвата на Европейската схема за търговия с емисии (ЕСТЕ)</v>
      </c>
      <c r="C69" s="116" t="str">
        <f>Translations!B21</f>
        <v>Инсталация извън обхвата на Европейската схема за търговия с емисии (ЕСТЕ)</v>
      </c>
      <c r="D69" s="116" t="str">
        <f>Translations!B22</f>
        <v>Инсталация, произвеждаща азотна киселина</v>
      </c>
      <c r="E69" s="116" t="str">
        <f>Translations!B23</f>
        <v>Топлопреносна мрежа</v>
      </c>
      <c r="F69" s="87"/>
      <c r="G69" s="87"/>
      <c r="H69" s="87"/>
    </row>
    <row r="70" spans="1:7" ht="12.75">
      <c r="A70" s="87" t="s">
        <v>241</v>
      </c>
      <c r="B70" s="116" t="str">
        <f>Translations!B24</f>
        <v>Измерима топлинна енергия</v>
      </c>
      <c r="C70" s="116" t="str">
        <f>Translations!B25</f>
        <v>отпадъчен газ</v>
      </c>
      <c r="D70" s="116" t="str">
        <f>Translations!B26</f>
        <v>прехвърлен СО2 (при улавяне и съхранение на СО2 — CCS)</v>
      </c>
      <c r="E70" s="87"/>
      <c r="F70" s="87"/>
      <c r="G70" s="87"/>
    </row>
    <row r="71" spans="1:7" ht="12.75">
      <c r="A71" s="87" t="s">
        <v>205</v>
      </c>
      <c r="B71" s="116" t="str">
        <f>Translations!B27</f>
        <v>Топлинна енергия</v>
      </c>
      <c r="C71" s="116" t="str">
        <f>Translations!B28</f>
        <v>отпадъчен газ</v>
      </c>
      <c r="D71" s="116" t="s">
        <v>206</v>
      </c>
      <c r="E71" s="87"/>
      <c r="F71" s="87"/>
      <c r="G71" s="87"/>
    </row>
    <row r="72" spans="1:7" ht="12.75">
      <c r="A72" s="87" t="s">
        <v>204</v>
      </c>
      <c r="B72" s="4" t="str">
        <f>Translations!B29</f>
        <v>Получаване</v>
      </c>
      <c r="C72" s="4" t="str">
        <f>Translations!B30</f>
        <v>Подаване</v>
      </c>
      <c r="D72" s="87"/>
      <c r="E72" s="87"/>
      <c r="F72" s="87"/>
      <c r="G72" s="87"/>
    </row>
    <row r="73" spans="1:7" ht="12.75">
      <c r="A73" s="87" t="s">
        <v>318</v>
      </c>
      <c r="B73" s="116" t="str">
        <f>Translations!$B$31</f>
        <v>В рамките на инсталацията</v>
      </c>
      <c r="C73" s="87"/>
      <c r="D73" s="87"/>
      <c r="E73" s="87"/>
      <c r="F73" s="87"/>
      <c r="G73" s="87"/>
    </row>
    <row r="74" spans="1:7" ht="12.75">
      <c r="A74" s="87" t="s">
        <v>319</v>
      </c>
      <c r="B74" s="116" t="str">
        <f>Translations!B32</f>
        <v>Производство на стоки</v>
      </c>
      <c r="C74" s="116" t="str">
        <f>Translations!B33</f>
        <v>механична енергия</v>
      </c>
      <c r="D74" s="116" t="str">
        <f>Translations!B34</f>
        <v>загряване</v>
      </c>
      <c r="E74" s="116" t="str">
        <f>Translations!B35</f>
        <v>охлаждане</v>
      </c>
      <c r="F74" s="116" t="str">
        <f>Translations!B36</f>
        <v>неизвестно</v>
      </c>
      <c r="G74" s="87"/>
    </row>
    <row r="75" spans="1:6" ht="12.75">
      <c r="A75" s="87" t="s">
        <v>203</v>
      </c>
      <c r="B75" s="116" t="str">
        <f>Translations!B37</f>
        <v>Производство на стоки</v>
      </c>
      <c r="C75" s="116" t="str">
        <f>Translations!B38</f>
        <v>механична енергия</v>
      </c>
      <c r="D75" s="116" t="str">
        <f>Translations!B39</f>
        <v>загряване</v>
      </c>
      <c r="E75" s="116" t="str">
        <f>Translations!B40</f>
        <v>охлаждане</v>
      </c>
      <c r="F75" s="87"/>
    </row>
    <row r="76" spans="1:10" ht="12.75">
      <c r="A76" s="87" t="s">
        <v>75</v>
      </c>
      <c r="B76" s="4" t="str">
        <f>Translations!$B$429</f>
        <v>N2O</v>
      </c>
      <c r="C76" s="4" t="s">
        <v>77</v>
      </c>
      <c r="D76" s="116" t="str">
        <f>Translations!B41</f>
        <v>CO2 (с поправка за отпадъчните газове)</v>
      </c>
      <c r="E76" s="116" t="str">
        <f>Translations!B42</f>
        <v>редукция на метални съединения </v>
      </c>
      <c r="F76" s="116" t="str">
        <f>Translations!B43</f>
        <v>отстраняване на примеси</v>
      </c>
      <c r="G76" s="116" t="str">
        <f>Translations!B44</f>
        <v>разлагане на карбонати </v>
      </c>
      <c r="H76" s="116" t="str">
        <f>Translations!B45</f>
        <v>химичен синтез</v>
      </c>
      <c r="I76" s="116" t="str">
        <f>Translations!B46</f>
        <v>въглеродосъдържащи материали</v>
      </c>
      <c r="J76" s="116" t="str">
        <f>Translations!B47</f>
        <v>редукция на оксиди на металоидни (т.е. полуметални) и на неметални елементи</v>
      </c>
    </row>
    <row r="77" spans="1:7" ht="12.75">
      <c r="A77" s="87" t="s">
        <v>262</v>
      </c>
      <c r="B77" s="4">
        <f>H304</f>
        <v>62.3</v>
      </c>
      <c r="C77" s="3"/>
      <c r="D77" s="87"/>
      <c r="E77" s="87"/>
      <c r="F77" s="87"/>
      <c r="G77" s="87"/>
    </row>
    <row r="78" spans="1:7" ht="12.75">
      <c r="A78" s="87" t="s">
        <v>263</v>
      </c>
      <c r="B78" s="4">
        <v>0.465</v>
      </c>
      <c r="C78" s="3"/>
      <c r="D78" s="87"/>
      <c r="E78" s="87"/>
      <c r="F78" s="87"/>
      <c r="G78" s="87"/>
    </row>
    <row r="79" spans="1:7" ht="12.75">
      <c r="A79" s="87" t="s">
        <v>73</v>
      </c>
      <c r="B79" s="4">
        <f>H306</f>
        <v>56.1</v>
      </c>
      <c r="C79" s="3"/>
      <c r="D79" s="87"/>
      <c r="E79" s="87"/>
      <c r="F79" s="87"/>
      <c r="G79" s="87"/>
    </row>
    <row r="80" spans="1:7" ht="12.75">
      <c r="A80" s="87" t="s">
        <v>346</v>
      </c>
      <c r="B80" s="4" t="str">
        <f>Translations!B48</f>
        <v>от значение в разглеждания случай </v>
      </c>
      <c r="C80" s="3"/>
      <c r="D80" s="87"/>
      <c r="E80" s="87"/>
      <c r="F80" s="87"/>
      <c r="G80" s="87"/>
    </row>
    <row r="81" spans="1:7" ht="12.75">
      <c r="A81" s="87" t="s">
        <v>347</v>
      </c>
      <c r="B81" s="4" t="str">
        <f>Translations!B49</f>
        <v>без значение в разглеждания случай</v>
      </c>
      <c r="C81" s="3"/>
      <c r="D81" s="87"/>
      <c r="E81" s="87"/>
      <c r="F81" s="87"/>
      <c r="G81" s="87"/>
    </row>
    <row r="82" spans="1:7" ht="12.75">
      <c r="A82" s="87" t="s">
        <v>464</v>
      </c>
      <c r="B82" s="4" t="str">
        <f>EUconst_Relevant</f>
        <v>от значение в разглеждания случай </v>
      </c>
      <c r="C82" s="4" t="str">
        <f>EUconst_NotRelevant</f>
        <v>без значение в разглеждания случай</v>
      </c>
      <c r="D82" s="87"/>
      <c r="E82" s="87"/>
      <c r="F82" s="87"/>
      <c r="G82" s="87"/>
    </row>
    <row r="83" spans="1:7" ht="12.75">
      <c r="A83" s="87" t="s">
        <v>465</v>
      </c>
      <c r="B83" s="4" t="str">
        <f>Translations!B50</f>
        <v>изтичане на въглерод</v>
      </c>
      <c r="C83" s="4" t="str">
        <f>Translations!B51</f>
        <v>не подлежи на риск от изтичане на въглерод </v>
      </c>
      <c r="D83" s="87"/>
      <c r="E83" s="87"/>
      <c r="F83" s="87"/>
      <c r="G83" s="87"/>
    </row>
    <row r="84" spans="1:7" ht="12.75">
      <c r="A84" s="87" t="s">
        <v>434</v>
      </c>
      <c r="B84" s="4" t="str">
        <f>"1000Nm3"</f>
        <v>1000Nm3</v>
      </c>
      <c r="C84" s="3"/>
      <c r="D84" s="87"/>
      <c r="E84" s="87"/>
      <c r="F84" s="87"/>
      <c r="G84" s="87"/>
    </row>
    <row r="85" spans="1:7" ht="12.75">
      <c r="A85" s="87" t="s">
        <v>435</v>
      </c>
      <c r="B85" s="4" t="str">
        <f>EUconst_t</f>
        <v>t</v>
      </c>
      <c r="C85" s="4" t="str">
        <f>B84</f>
        <v>1000Nm3</v>
      </c>
      <c r="D85" s="87"/>
      <c r="E85" s="87"/>
      <c r="F85" s="87"/>
      <c r="G85" s="87"/>
    </row>
    <row r="86" spans="1:7" ht="12.75">
      <c r="A86" s="87" t="s">
        <v>436</v>
      </c>
      <c r="B86" s="4" t="str">
        <f>EUconst_GJpt</f>
        <v>GJ / t</v>
      </c>
      <c r="C86" s="4" t="s">
        <v>437</v>
      </c>
      <c r="D86" s="87"/>
      <c r="E86" s="87"/>
      <c r="F86" s="87"/>
      <c r="G86" s="87"/>
    </row>
    <row r="87" spans="1:8" ht="12.75">
      <c r="A87" s="87" t="s">
        <v>236</v>
      </c>
      <c r="B87" s="4" t="str">
        <f>EUconst_tCO2pTJ</f>
        <v>t CO2 / TJ</v>
      </c>
      <c r="C87" s="4" t="str">
        <f>B88</f>
        <v>t CO2/1000Nm3</v>
      </c>
      <c r="D87" s="116" t="str">
        <f>EUconst_tCO2pt</f>
        <v>t CO2 / t</v>
      </c>
      <c r="G87" s="87"/>
      <c r="H87" s="87"/>
    </row>
    <row r="88" spans="1:8" ht="12.75">
      <c r="A88" s="87" t="s">
        <v>309</v>
      </c>
      <c r="B88" s="4" t="str">
        <f>EUconst_tCO2&amp;"/1000Nm3"</f>
        <v>t CO2/1000Nm3</v>
      </c>
      <c r="C88" s="4"/>
      <c r="D88" s="116"/>
      <c r="G88" s="87"/>
      <c r="H88" s="87"/>
    </row>
    <row r="89" spans="1:7" ht="12.75">
      <c r="A89" s="87" t="s">
        <v>438</v>
      </c>
      <c r="B89" s="4" t="str">
        <f>EUconst_GJ&amp;" / "&amp;EUconst_Unit</f>
        <v>GJ / Единица мярка</v>
      </c>
      <c r="C89" s="3"/>
      <c r="D89" s="87"/>
      <c r="E89" s="87"/>
      <c r="F89" s="87"/>
      <c r="G89" s="87"/>
    </row>
    <row r="90" spans="1:7" ht="12.75">
      <c r="A90" s="87" t="s">
        <v>56</v>
      </c>
      <c r="B90" s="4" t="str">
        <f>"MNm3/"&amp;EUconst_Year</f>
        <v>MNm3/година</v>
      </c>
      <c r="C90" s="3"/>
      <c r="D90" s="87"/>
      <c r="E90" s="87"/>
      <c r="F90" s="87"/>
      <c r="G90" s="87"/>
    </row>
    <row r="91" spans="1:7" ht="12.75">
      <c r="A91" s="87" t="s">
        <v>500</v>
      </c>
      <c r="B91" s="284" t="s">
        <v>527</v>
      </c>
      <c r="C91" s="3"/>
      <c r="D91" s="87"/>
      <c r="E91" s="87"/>
      <c r="F91" s="87"/>
      <c r="G91" s="87"/>
    </row>
    <row r="92" spans="1:7" ht="12.75">
      <c r="A92" s="87" t="s">
        <v>323</v>
      </c>
      <c r="B92" s="4" t="str">
        <f>Translations!$B$52</f>
        <v>квоти за емисии</v>
      </c>
      <c r="C92" s="3"/>
      <c r="D92" s="87"/>
      <c r="E92" s="87"/>
      <c r="F92" s="87"/>
      <c r="G92" s="87"/>
    </row>
    <row r="93" spans="1:6" ht="12.75">
      <c r="A93" s="87" t="s">
        <v>237</v>
      </c>
      <c r="B93" s="4" t="str">
        <f>Translations!$B$463</f>
        <v>Операторът на тази инсталация потвърждава, че инсталацията не отговаря на условията за безплатно предоставяне на квоти за емисии по реда на член 10а от Директивата за Схемата за търговия с емисии.</v>
      </c>
      <c r="C93" s="87"/>
      <c r="D93" s="87"/>
      <c r="E93" s="87"/>
      <c r="F93" s="87"/>
    </row>
    <row r="94" spans="1:6" ht="12.75">
      <c r="A94" s="87" t="s">
        <v>238</v>
      </c>
      <c r="B94" s="4" t="str">
        <f>Translations!$B$464</f>
        <v>Операторът на тази инсталация потвърждава, че с настоящото се подава заявка за промяна на количеството на безплатно предоставяните квоти за емисии по реда на член 10а от Директивата за Схемата за търговия с емисии.</v>
      </c>
      <c r="C94" s="87"/>
      <c r="D94" s="87"/>
      <c r="E94" s="87"/>
      <c r="F94" s="87"/>
    </row>
    <row r="95" spans="1:6" ht="12.75">
      <c r="A95" s="87" t="s">
        <v>282</v>
      </c>
      <c r="B95" s="4" t="str">
        <f>Translations!B53</f>
        <v>Операторът на инсталацията потвърждава, че настоящият доклад може да бъде използван от компетентните институции и от Европейската комисия.</v>
      </c>
      <c r="C95" s="87"/>
      <c r="D95" s="87"/>
      <c r="E95" s="87"/>
      <c r="F95" s="87"/>
    </row>
    <row r="96" spans="1:6" ht="12.75">
      <c r="A96" s="285" t="s">
        <v>228</v>
      </c>
      <c r="B96" s="284" t="str">
        <f>Translations!$B$506</f>
        <v>Операторът на тази инсталация потвърждава, че инсталацията е с прекратена експлоатация.</v>
      </c>
      <c r="C96" s="283" t="s">
        <v>279</v>
      </c>
      <c r="D96" s="87"/>
      <c r="E96" s="87"/>
      <c r="F96" s="87"/>
    </row>
    <row r="97" spans="1:7" ht="12.75">
      <c r="A97" s="87" t="s">
        <v>45</v>
      </c>
      <c r="B97" s="4" t="s">
        <v>42</v>
      </c>
      <c r="C97" s="3"/>
      <c r="D97" s="87"/>
      <c r="E97" s="87"/>
      <c r="F97" s="87"/>
      <c r="G97" s="87"/>
    </row>
    <row r="98" spans="1:7" ht="12.75">
      <c r="A98" s="87" t="s">
        <v>46</v>
      </c>
      <c r="B98" s="4" t="s">
        <v>43</v>
      </c>
      <c r="C98" s="3"/>
      <c r="D98" s="87"/>
      <c r="E98" s="87"/>
      <c r="F98" s="87"/>
      <c r="G98" s="87"/>
    </row>
    <row r="99" spans="1:7" ht="12.75">
      <c r="A99" s="87" t="s">
        <v>47</v>
      </c>
      <c r="B99" s="4" t="s">
        <v>44</v>
      </c>
      <c r="C99" s="3"/>
      <c r="D99" s="87"/>
      <c r="E99" s="87"/>
      <c r="F99" s="87"/>
      <c r="G99" s="87"/>
    </row>
    <row r="100" spans="1:7" ht="12.75">
      <c r="A100" s="87" t="s">
        <v>48</v>
      </c>
      <c r="B100" s="4" t="s">
        <v>50</v>
      </c>
      <c r="C100" s="3"/>
      <c r="D100" s="87"/>
      <c r="E100" s="87"/>
      <c r="F100" s="87"/>
      <c r="G100" s="87"/>
    </row>
    <row r="101" spans="1:7" ht="12.75">
      <c r="A101" s="87" t="s">
        <v>49</v>
      </c>
      <c r="B101" s="4" t="s">
        <v>51</v>
      </c>
      <c r="C101" s="3"/>
      <c r="D101" s="87"/>
      <c r="E101" s="87"/>
      <c r="F101" s="87"/>
      <c r="G101" s="87"/>
    </row>
    <row r="102" spans="1:7" ht="12.75">
      <c r="A102" s="285" t="s">
        <v>1</v>
      </c>
      <c r="B102" s="284" t="s">
        <v>2</v>
      </c>
      <c r="C102" s="283" t="s">
        <v>279</v>
      </c>
      <c r="D102" s="87"/>
      <c r="E102" s="87"/>
      <c r="F102" s="87"/>
      <c r="G102" s="87"/>
    </row>
    <row r="103" spans="1:7" ht="12.75">
      <c r="A103" s="285" t="s">
        <v>85</v>
      </c>
      <c r="B103" s="284" t="s">
        <v>86</v>
      </c>
      <c r="C103" s="283" t="s">
        <v>279</v>
      </c>
      <c r="D103" s="87"/>
      <c r="E103" s="87"/>
      <c r="F103" s="87"/>
      <c r="G103" s="87"/>
    </row>
    <row r="104" spans="1:7" ht="12.75">
      <c r="A104" s="285" t="s">
        <v>7</v>
      </c>
      <c r="B104" s="284" t="s">
        <v>8</v>
      </c>
      <c r="C104" s="283" t="s">
        <v>279</v>
      </c>
      <c r="D104" s="87"/>
      <c r="E104" s="87"/>
      <c r="F104" s="87"/>
      <c r="G104" s="87"/>
    </row>
    <row r="105" spans="1:7" ht="12.75">
      <c r="A105" s="285" t="s">
        <v>275</v>
      </c>
      <c r="B105" s="284" t="s">
        <v>274</v>
      </c>
      <c r="C105" s="283" t="s">
        <v>279</v>
      </c>
      <c r="D105" s="87"/>
      <c r="E105" s="87"/>
      <c r="F105" s="87"/>
      <c r="G105" s="87"/>
    </row>
    <row r="106" spans="1:7" ht="12.75">
      <c r="A106" s="285" t="s">
        <v>35</v>
      </c>
      <c r="B106" s="284" t="s">
        <v>36</v>
      </c>
      <c r="C106" s="283" t="s">
        <v>279</v>
      </c>
      <c r="D106" s="87"/>
      <c r="E106" s="87"/>
      <c r="F106" s="87"/>
      <c r="G106" s="87"/>
    </row>
    <row r="107" spans="1:7" ht="12.75">
      <c r="A107" s="285" t="s">
        <v>207</v>
      </c>
      <c r="B107" s="284" t="s">
        <v>209</v>
      </c>
      <c r="C107" s="283" t="s">
        <v>279</v>
      </c>
      <c r="D107" s="87"/>
      <c r="E107" s="87"/>
      <c r="F107" s="87"/>
      <c r="G107" s="87"/>
    </row>
    <row r="108" spans="1:7" ht="12.75">
      <c r="A108" s="285" t="s">
        <v>208</v>
      </c>
      <c r="B108" s="284" t="s">
        <v>210</v>
      </c>
      <c r="C108" s="283" t="s">
        <v>279</v>
      </c>
      <c r="D108" s="87"/>
      <c r="E108" s="87"/>
      <c r="F108" s="87"/>
      <c r="G108" s="87"/>
    </row>
    <row r="109" spans="1:7" ht="12.75">
      <c r="A109" s="285" t="s">
        <v>270</v>
      </c>
      <c r="B109" s="284" t="s">
        <v>272</v>
      </c>
      <c r="C109" s="283" t="s">
        <v>279</v>
      </c>
      <c r="D109" s="87"/>
      <c r="E109" s="87"/>
      <c r="F109" s="87"/>
      <c r="G109" s="87"/>
    </row>
    <row r="110" spans="1:7" ht="12.75">
      <c r="A110" s="285" t="s">
        <v>291</v>
      </c>
      <c r="B110" s="284" t="s">
        <v>295</v>
      </c>
      <c r="C110" s="283" t="s">
        <v>279</v>
      </c>
      <c r="D110" s="87"/>
      <c r="E110" s="87"/>
      <c r="F110" s="87"/>
      <c r="G110" s="87"/>
    </row>
    <row r="111" spans="1:7" ht="12.75">
      <c r="A111" s="285" t="s">
        <v>507</v>
      </c>
      <c r="B111" s="284" t="s">
        <v>508</v>
      </c>
      <c r="C111" s="283" t="s">
        <v>279</v>
      </c>
      <c r="D111" s="87"/>
      <c r="E111" s="87"/>
      <c r="F111" s="87"/>
      <c r="G111" s="87"/>
    </row>
    <row r="112" spans="1:7" ht="12.75">
      <c r="A112" s="285" t="s">
        <v>271</v>
      </c>
      <c r="B112" s="284" t="s">
        <v>273</v>
      </c>
      <c r="C112" s="283" t="s">
        <v>279</v>
      </c>
      <c r="D112" s="87"/>
      <c r="E112" s="87"/>
      <c r="F112" s="87"/>
      <c r="G112" s="87"/>
    </row>
    <row r="113" spans="1:7" ht="12.75">
      <c r="A113" s="285" t="s">
        <v>20</v>
      </c>
      <c r="B113" s="284" t="s">
        <v>21</v>
      </c>
      <c r="C113" s="283" t="s">
        <v>279</v>
      </c>
      <c r="D113" s="87"/>
      <c r="E113" s="87"/>
      <c r="F113" s="87"/>
      <c r="G113" s="87"/>
    </row>
    <row r="114" spans="1:7" ht="12.75">
      <c r="A114" s="285" t="s">
        <v>22</v>
      </c>
      <c r="B114" s="284" t="s">
        <v>23</v>
      </c>
      <c r="C114" s="283" t="s">
        <v>279</v>
      </c>
      <c r="D114" s="87"/>
      <c r="E114" s="87"/>
      <c r="F114" s="87"/>
      <c r="G114" s="87"/>
    </row>
    <row r="115" spans="1:7" ht="12.75">
      <c r="A115" s="285" t="s">
        <v>27</v>
      </c>
      <c r="B115" s="284" t="s">
        <v>28</v>
      </c>
      <c r="C115" s="283" t="s">
        <v>279</v>
      </c>
      <c r="D115" s="87"/>
      <c r="E115" s="87"/>
      <c r="F115" s="87"/>
      <c r="G115" s="87"/>
    </row>
    <row r="116" spans="1:7" ht="12.75">
      <c r="A116" s="285" t="s">
        <v>407</v>
      </c>
      <c r="B116" s="284" t="s">
        <v>408</v>
      </c>
      <c r="C116" s="283" t="s">
        <v>279</v>
      </c>
      <c r="D116" s="87"/>
      <c r="E116" s="87"/>
      <c r="F116" s="87"/>
      <c r="G116" s="87"/>
    </row>
    <row r="117" spans="1:7" ht="12.75">
      <c r="A117" s="285" t="s">
        <v>277</v>
      </c>
      <c r="B117" s="284" t="s">
        <v>278</v>
      </c>
      <c r="C117" s="283" t="s">
        <v>279</v>
      </c>
      <c r="D117" s="87"/>
      <c r="E117" s="87"/>
      <c r="F117" s="87"/>
      <c r="G117" s="87"/>
    </row>
    <row r="118" spans="1:7" ht="12.75">
      <c r="A118" s="285" t="s">
        <v>269</v>
      </c>
      <c r="B118" s="284" t="s">
        <v>268</v>
      </c>
      <c r="C118" s="283" t="s">
        <v>279</v>
      </c>
      <c r="D118" s="87"/>
      <c r="E118" s="87"/>
      <c r="F118" s="87"/>
      <c r="G118" s="87"/>
    </row>
    <row r="119" spans="1:7" ht="12.75">
      <c r="A119" s="285" t="s">
        <v>12</v>
      </c>
      <c r="B119" s="284" t="s">
        <v>13</v>
      </c>
      <c r="C119" s="283" t="s">
        <v>279</v>
      </c>
      <c r="D119" s="87"/>
      <c r="E119" s="87"/>
      <c r="F119" s="87"/>
      <c r="G119" s="87"/>
    </row>
    <row r="120" spans="1:7" ht="12.75">
      <c r="A120" s="285" t="s">
        <v>18</v>
      </c>
      <c r="B120" s="284" t="s">
        <v>19</v>
      </c>
      <c r="C120" s="283" t="s">
        <v>279</v>
      </c>
      <c r="D120" s="87"/>
      <c r="E120" s="87"/>
      <c r="F120" s="87"/>
      <c r="G120" s="87"/>
    </row>
    <row r="121" spans="1:7" ht="12.75">
      <c r="A121" s="285" t="s">
        <v>101</v>
      </c>
      <c r="B121" s="284" t="str">
        <f>Translations!$B$507</f>
        <v>Изпълнен критерий</v>
      </c>
      <c r="C121" s="283"/>
      <c r="D121" s="87"/>
      <c r="E121" s="87"/>
      <c r="F121" s="87"/>
      <c r="G121" s="87"/>
    </row>
    <row r="122" spans="1:7" ht="12.75">
      <c r="A122" s="87" t="s">
        <v>217</v>
      </c>
      <c r="B122" s="4" t="s">
        <v>218</v>
      </c>
      <c r="C122" s="3"/>
      <c r="D122" s="87"/>
      <c r="E122" s="87"/>
      <c r="F122" s="87"/>
      <c r="G122" s="87"/>
    </row>
    <row r="123" spans="1:7" ht="12.75">
      <c r="A123" s="87" t="s">
        <v>255</v>
      </c>
      <c r="B123" s="4" t="s">
        <v>426</v>
      </c>
      <c r="C123" s="3"/>
      <c r="D123" s="87"/>
      <c r="E123" s="87"/>
      <c r="F123" s="87"/>
      <c r="G123" s="87"/>
    </row>
    <row r="124" spans="1:7" ht="12.75">
      <c r="A124" s="285" t="s">
        <v>219</v>
      </c>
      <c r="B124" s="4" t="s">
        <v>220</v>
      </c>
      <c r="C124" s="3"/>
      <c r="D124" s="87"/>
      <c r="E124" s="87"/>
      <c r="F124" s="87"/>
      <c r="G124" s="87"/>
    </row>
    <row r="125" spans="1:7" ht="12.75">
      <c r="A125" s="285" t="s">
        <v>4</v>
      </c>
      <c r="B125" s="284" t="s">
        <v>5</v>
      </c>
      <c r="C125" s="283" t="s">
        <v>279</v>
      </c>
      <c r="D125" s="87"/>
      <c r="E125" s="87"/>
      <c r="F125" s="87"/>
      <c r="G125" s="87"/>
    </row>
    <row r="126" spans="1:7" ht="12.75">
      <c r="A126" s="87" t="s">
        <v>529</v>
      </c>
      <c r="B126" s="4" t="s">
        <v>528</v>
      </c>
      <c r="C126" s="3"/>
      <c r="D126" s="87"/>
      <c r="E126" s="87"/>
      <c r="F126" s="87"/>
      <c r="G126" s="87"/>
    </row>
    <row r="127" spans="1:7" ht="12.75">
      <c r="A127" s="87" t="s">
        <v>105</v>
      </c>
      <c r="B127" s="4" t="s">
        <v>106</v>
      </c>
      <c r="C127" s="3"/>
      <c r="D127" s="87"/>
      <c r="E127" s="87"/>
      <c r="F127" s="87"/>
      <c r="G127" s="87"/>
    </row>
    <row r="128" spans="1:7" ht="12.75">
      <c r="A128" s="87" t="s">
        <v>107</v>
      </c>
      <c r="B128" s="4" t="s">
        <v>108</v>
      </c>
      <c r="C128" s="3"/>
      <c r="D128" s="87"/>
      <c r="E128" s="87"/>
      <c r="F128" s="87"/>
      <c r="G128" s="87"/>
    </row>
    <row r="129" spans="1:7" ht="12.75">
      <c r="A129" s="87" t="s">
        <v>109</v>
      </c>
      <c r="B129" s="4" t="s">
        <v>110</v>
      </c>
      <c r="C129" s="3"/>
      <c r="D129" s="87"/>
      <c r="E129" s="87"/>
      <c r="F129" s="87"/>
      <c r="G129" s="87"/>
    </row>
    <row r="130" spans="1:7" ht="12.75">
      <c r="A130" s="87" t="s">
        <v>198</v>
      </c>
      <c r="B130" s="4" t="s">
        <v>196</v>
      </c>
      <c r="C130" s="3"/>
      <c r="D130" s="87"/>
      <c r="E130" s="87"/>
      <c r="F130" s="87"/>
      <c r="G130" s="87"/>
    </row>
    <row r="131" spans="1:7" ht="12.75">
      <c r="A131" s="87" t="s">
        <v>199</v>
      </c>
      <c r="B131" s="4" t="s">
        <v>197</v>
      </c>
      <c r="C131" s="3"/>
      <c r="D131" s="87"/>
      <c r="E131" s="87"/>
      <c r="F131" s="87"/>
      <c r="G131" s="87"/>
    </row>
    <row r="132" spans="1:7" ht="12.75">
      <c r="A132" s="87" t="s">
        <v>344</v>
      </c>
      <c r="B132" s="4" t="s">
        <v>345</v>
      </c>
      <c r="C132" s="3"/>
      <c r="D132" s="87"/>
      <c r="E132" s="87"/>
      <c r="F132" s="87"/>
      <c r="G132" s="87"/>
    </row>
    <row r="133" spans="1:7" ht="12.75">
      <c r="A133" s="87" t="s">
        <v>248</v>
      </c>
      <c r="B133" s="4" t="s">
        <v>247</v>
      </c>
      <c r="C133" s="3"/>
      <c r="D133" s="87"/>
      <c r="E133" s="87"/>
      <c r="F133" s="87"/>
      <c r="G133" s="87"/>
    </row>
    <row r="134" spans="1:7" ht="12.75">
      <c r="A134" s="87" t="s">
        <v>439</v>
      </c>
      <c r="B134" s="4" t="s">
        <v>440</v>
      </c>
      <c r="C134" s="3"/>
      <c r="D134" s="87"/>
      <c r="E134" s="87"/>
      <c r="F134" s="87"/>
      <c r="G134" s="87"/>
    </row>
    <row r="135" spans="1:7" ht="12.75">
      <c r="A135" s="87" t="s">
        <v>471</v>
      </c>
      <c r="B135" s="4" t="s">
        <v>254</v>
      </c>
      <c r="C135" s="3"/>
      <c r="D135" s="87"/>
      <c r="E135" s="87"/>
      <c r="F135" s="87"/>
      <c r="G135" s="87"/>
    </row>
    <row r="136" spans="1:7" ht="12.75">
      <c r="A136" s="87" t="s">
        <v>249</v>
      </c>
      <c r="B136" s="4" t="s">
        <v>250</v>
      </c>
      <c r="C136" s="3"/>
      <c r="D136" s="87"/>
      <c r="E136" s="87"/>
      <c r="F136" s="87"/>
      <c r="G136" s="87"/>
    </row>
    <row r="137" spans="1:7" ht="12.75">
      <c r="A137" s="87" t="s">
        <v>251</v>
      </c>
      <c r="B137" s="4" t="s">
        <v>252</v>
      </c>
      <c r="C137" s="3"/>
      <c r="D137" s="87"/>
      <c r="E137" s="87"/>
      <c r="F137" s="87"/>
      <c r="G137" s="87"/>
    </row>
    <row r="138" spans="1:7" ht="12.75">
      <c r="A138" s="87" t="s">
        <v>94</v>
      </c>
      <c r="B138" s="4" t="s">
        <v>95</v>
      </c>
      <c r="C138" s="3"/>
      <c r="D138" s="87"/>
      <c r="E138" s="87"/>
      <c r="F138" s="87"/>
      <c r="G138" s="87"/>
    </row>
    <row r="139" spans="1:7" ht="12.75">
      <c r="A139" s="87" t="s">
        <v>422</v>
      </c>
      <c r="B139" s="4" t="s">
        <v>423</v>
      </c>
      <c r="C139" s="3"/>
      <c r="D139" s="87"/>
      <c r="E139" s="87"/>
      <c r="F139" s="87"/>
      <c r="G139" s="87"/>
    </row>
    <row r="140" spans="1:7" ht="12.75">
      <c r="A140" s="87" t="s">
        <v>200</v>
      </c>
      <c r="B140" s="4" t="s">
        <v>201</v>
      </c>
      <c r="C140" s="3"/>
      <c r="D140" s="87"/>
      <c r="E140" s="87"/>
      <c r="F140" s="87"/>
      <c r="G140" s="87"/>
    </row>
    <row r="141" spans="1:7" ht="12.75">
      <c r="A141" s="87" t="s">
        <v>96</v>
      </c>
      <c r="B141" s="4" t="s">
        <v>97</v>
      </c>
      <c r="C141" s="3"/>
      <c r="D141" s="87"/>
      <c r="E141" s="87"/>
      <c r="F141" s="87"/>
      <c r="G141" s="87"/>
    </row>
    <row r="142" spans="1:7" ht="12.75">
      <c r="A142" s="87" t="s">
        <v>235</v>
      </c>
      <c r="B142" s="4" t="str">
        <f>Translations!B54</f>
        <v>Метод А = Метод на база времетраенето на анодния ефект</v>
      </c>
      <c r="C142" s="4" t="str">
        <f>Translations!B55</f>
        <v>Метод В = Метод на база свръхнапрежението при анодния ефект</v>
      </c>
      <c r="D142" s="87"/>
      <c r="E142" s="87"/>
      <c r="F142" s="87"/>
      <c r="G142" s="87"/>
    </row>
    <row r="143" spans="1:7" ht="12.75">
      <c r="A143" s="87" t="s">
        <v>475</v>
      </c>
      <c r="B143" s="4" t="str">
        <f>Translations!B56</f>
        <v>Данни за базовата линия</v>
      </c>
      <c r="C143" s="4" t="str">
        <f>Translations!B57</f>
        <v>Дял от историческото равнище на активност (HAL) (G.I.2.k)</v>
      </c>
      <c r="D143" s="87"/>
      <c r="E143" s="87"/>
      <c r="F143" s="87"/>
      <c r="G143" s="87"/>
    </row>
    <row r="144" spans="1:7" ht="12.75">
      <c r="A144" s="87" t="s">
        <v>343</v>
      </c>
      <c r="B144" s="4" t="str">
        <f>Translations!B58</f>
        <v>непълно!</v>
      </c>
      <c r="C144" s="3"/>
      <c r="D144" s="87"/>
      <c r="E144" s="87"/>
      <c r="F144" s="87"/>
      <c r="G144" s="87"/>
    </row>
    <row r="145" spans="1:7" ht="12.75">
      <c r="A145" s="87" t="s">
        <v>41</v>
      </c>
      <c r="B145" s="4" t="str">
        <f>Translations!B59</f>
        <v>отрицателна стойност!</v>
      </c>
      <c r="C145" s="280" t="s">
        <v>448</v>
      </c>
      <c r="D145" s="87"/>
      <c r="E145" s="87"/>
      <c r="F145" s="87"/>
      <c r="G145" s="87"/>
    </row>
    <row r="146" spans="1:7" ht="12.75">
      <c r="A146" s="87" t="s">
        <v>308</v>
      </c>
      <c r="B146" s="4" t="str">
        <f>Translations!B60</f>
        <v>несъответствие!</v>
      </c>
      <c r="C146" s="3"/>
      <c r="D146" s="87"/>
      <c r="E146" s="87"/>
      <c r="F146" s="87"/>
      <c r="G146" s="87"/>
    </row>
    <row r="147" spans="1:2" ht="12.75">
      <c r="A147" s="82" t="s">
        <v>294</v>
      </c>
      <c r="B147" s="116" t="str">
        <f>Translations!B61</f>
        <v>О.К.</v>
      </c>
    </row>
    <row r="148" spans="1:2" ht="12.75">
      <c r="A148" s="82" t="s">
        <v>104</v>
      </c>
      <c r="B148" s="116" t="str">
        <f>Translations!B62</f>
        <v>Липсва дата!</v>
      </c>
    </row>
    <row r="149" spans="1:3" ht="12.75">
      <c r="A149" s="82" t="s">
        <v>223</v>
      </c>
      <c r="B149" s="116" t="str">
        <f>Translations!B63</f>
        <v>Ръчно въвеждане!</v>
      </c>
      <c r="C149" s="280" t="s">
        <v>448</v>
      </c>
    </row>
    <row r="150" spans="1:2" ht="12.75">
      <c r="A150" s="82" t="s">
        <v>257</v>
      </c>
      <c r="B150" s="116" t="str">
        <f>Translations!B64</f>
        <v>Не са въведени данни за историческия коефициент на използване на капацитета (HCUF)</v>
      </c>
    </row>
    <row r="151" spans="1:3" ht="12.75">
      <c r="A151" s="301" t="s">
        <v>441</v>
      </c>
      <c r="B151" s="295" t="str">
        <f>Translations!$B$508</f>
        <v>Не са въведени данни за RCUF</v>
      </c>
      <c r="C151" s="280" t="s">
        <v>279</v>
      </c>
    </row>
    <row r="152" spans="1:2" ht="12.75">
      <c r="A152" s="82" t="s">
        <v>472</v>
      </c>
      <c r="B152" s="116" t="str">
        <f>Translations!$B$509</f>
        <v>0 &lt;= HCUF &lt;=1 !</v>
      </c>
    </row>
    <row r="153" spans="1:2" ht="12.75">
      <c r="A153" s="82" t="s">
        <v>416</v>
      </c>
      <c r="B153" s="116" t="str">
        <f>Translations!$B$510</f>
        <v>0 &lt;= RCUF &lt;=1 !</v>
      </c>
    </row>
    <row r="154" spans="1:2" ht="12.75">
      <c r="A154" s="82" t="s">
        <v>222</v>
      </c>
      <c r="B154" s="116" t="str">
        <f>Translations!$B$511</f>
        <v>0 &lt;= отношение &lt;=1 !</v>
      </c>
    </row>
    <row r="155" spans="1:2" ht="12.75">
      <c r="A155" s="82" t="s">
        <v>321</v>
      </c>
      <c r="B155" s="295" t="s">
        <v>310</v>
      </c>
    </row>
    <row r="156" spans="1:7" ht="12.75">
      <c r="A156" s="87" t="s">
        <v>530</v>
      </c>
      <c r="B156" s="4" t="str">
        <f>Translations!B65</f>
        <v>домакинства</v>
      </c>
      <c r="C156" s="3"/>
      <c r="D156" s="87"/>
      <c r="E156" s="87"/>
      <c r="F156" s="87"/>
      <c r="G156" s="87"/>
    </row>
    <row r="157" spans="1:7" ht="12.75">
      <c r="A157" s="87" t="s">
        <v>195</v>
      </c>
      <c r="B157" s="4" t="str">
        <f>Translations!B66</f>
        <v>измерима топлинна енергия извън обхвата на Европейската схема за търговия с емисии (ЕСТЕ)</v>
      </c>
      <c r="C157" s="3"/>
      <c r="D157" s="87"/>
      <c r="E157" s="87"/>
      <c r="F157" s="87"/>
      <c r="G157" s="87"/>
    </row>
    <row r="158" spans="1:32" ht="12.75">
      <c r="A158" s="87" t="s">
        <v>135</v>
      </c>
      <c r="B158" s="4" t="str">
        <f>Translations!B108</f>
        <v>Австрия</v>
      </c>
      <c r="C158" s="4" t="str">
        <f>Translations!B109</f>
        <v>Белгия</v>
      </c>
      <c r="D158" s="116" t="str">
        <f>Translations!B110</f>
        <v>България</v>
      </c>
      <c r="E158" s="116" t="str">
        <f>Translations!B462</f>
        <v>Хърватия</v>
      </c>
      <c r="F158" s="116" t="str">
        <f>Translations!B111</f>
        <v>Кипър</v>
      </c>
      <c r="G158" s="116" t="str">
        <f>Translations!B112</f>
        <v>Чешката република</v>
      </c>
      <c r="H158" s="116" t="str">
        <f>Translations!B113</f>
        <v>Дания</v>
      </c>
      <c r="I158" s="116" t="str">
        <f>Translations!B114</f>
        <v>Естония</v>
      </c>
      <c r="J158" s="116" t="str">
        <f>Translations!B115</f>
        <v>Финландия</v>
      </c>
      <c r="K158" s="116" t="str">
        <f>Translations!B116</f>
        <v>Франция</v>
      </c>
      <c r="L158" s="116" t="str">
        <f>Translations!B117</f>
        <v>Германия</v>
      </c>
      <c r="M158" s="116" t="str">
        <f>Translations!B118</f>
        <v>Гърция</v>
      </c>
      <c r="N158" s="116" t="str">
        <f>Translations!B119</f>
        <v>Унгария</v>
      </c>
      <c r="O158" s="116" t="str">
        <f>Translations!B120</f>
        <v>Исландия</v>
      </c>
      <c r="P158" s="116" t="str">
        <f>Translations!B121</f>
        <v>Ирландия</v>
      </c>
      <c r="Q158" s="116" t="str">
        <f>Translations!B122</f>
        <v>Италия</v>
      </c>
      <c r="R158" s="116" t="str">
        <f>Translations!B123</f>
        <v>Латвия</v>
      </c>
      <c r="S158" s="116" t="str">
        <f>Translations!B124</f>
        <v>Лихтенщайн</v>
      </c>
      <c r="T158" s="116" t="str">
        <f>Translations!B125</f>
        <v>Литва</v>
      </c>
      <c r="U158" s="116" t="str">
        <f>Translations!B126</f>
        <v>Люксембург</v>
      </c>
      <c r="V158" s="116" t="str">
        <f>Translations!B127</f>
        <v>Малта</v>
      </c>
      <c r="W158" s="116" t="str">
        <f>Translations!B128</f>
        <v>Нидерландия</v>
      </c>
      <c r="X158" s="116" t="str">
        <f>Translations!B129</f>
        <v>Норвегия</v>
      </c>
      <c r="Y158" s="116" t="str">
        <f>Translations!B130</f>
        <v>Полша</v>
      </c>
      <c r="Z158" s="116" t="str">
        <f>Translations!B131</f>
        <v>Португалия</v>
      </c>
      <c r="AA158" s="116" t="str">
        <f>Translations!B132</f>
        <v>Румъния</v>
      </c>
      <c r="AB158" s="116" t="str">
        <f>Translations!B133</f>
        <v>Словакия</v>
      </c>
      <c r="AC158" s="116" t="str">
        <f>Translations!B134</f>
        <v>Словения</v>
      </c>
      <c r="AD158" s="116" t="str">
        <f>Translations!B135</f>
        <v>Испания</v>
      </c>
      <c r="AE158" s="116" t="str">
        <f>Translations!B136</f>
        <v>Швеция</v>
      </c>
      <c r="AF158" s="116" t="str">
        <f>Translations!B137</f>
        <v>Обединеното кралство</v>
      </c>
    </row>
    <row r="159" spans="1:32" ht="12.75">
      <c r="A159" s="87" t="s">
        <v>136</v>
      </c>
      <c r="B159" s="4" t="s">
        <v>373</v>
      </c>
      <c r="C159" s="4" t="s">
        <v>374</v>
      </c>
      <c r="D159" s="116" t="s">
        <v>375</v>
      </c>
      <c r="E159" s="295" t="s">
        <v>444</v>
      </c>
      <c r="F159" s="116" t="s">
        <v>376</v>
      </c>
      <c r="G159" s="116" t="s">
        <v>377</v>
      </c>
      <c r="H159" s="116" t="s">
        <v>378</v>
      </c>
      <c r="I159" s="116" t="s">
        <v>379</v>
      </c>
      <c r="J159" s="116" t="s">
        <v>380</v>
      </c>
      <c r="K159" s="116" t="s">
        <v>381</v>
      </c>
      <c r="L159" s="116" t="s">
        <v>382</v>
      </c>
      <c r="M159" s="116" t="s">
        <v>383</v>
      </c>
      <c r="N159" s="116" t="s">
        <v>384</v>
      </c>
      <c r="O159" s="116" t="s">
        <v>59</v>
      </c>
      <c r="P159" s="116" t="s">
        <v>385</v>
      </c>
      <c r="Q159" s="116" t="s">
        <v>386</v>
      </c>
      <c r="R159" s="116" t="s">
        <v>387</v>
      </c>
      <c r="S159" s="116" t="s">
        <v>60</v>
      </c>
      <c r="T159" s="116" t="s">
        <v>388</v>
      </c>
      <c r="U159" s="116" t="s">
        <v>389</v>
      </c>
      <c r="V159" s="116" t="s">
        <v>390</v>
      </c>
      <c r="W159" s="116" t="s">
        <v>391</v>
      </c>
      <c r="X159" s="116" t="s">
        <v>61</v>
      </c>
      <c r="Y159" s="116" t="s">
        <v>392</v>
      </c>
      <c r="Z159" s="116" t="s">
        <v>393</v>
      </c>
      <c r="AA159" s="116" t="s">
        <v>394</v>
      </c>
      <c r="AB159" s="116" t="s">
        <v>395</v>
      </c>
      <c r="AC159" s="116" t="s">
        <v>396</v>
      </c>
      <c r="AD159" s="116" t="s">
        <v>397</v>
      </c>
      <c r="AE159" s="116" t="s">
        <v>289</v>
      </c>
      <c r="AF159" s="116" t="s">
        <v>290</v>
      </c>
    </row>
    <row r="160" spans="1:7" ht="12.75">
      <c r="A160" s="87" t="s">
        <v>433</v>
      </c>
      <c r="B160" s="4" t="str">
        <f>Translations!B67</f>
        <v>Прост модул за топлинната енергия (E.II.1)</v>
      </c>
      <c r="C160" s="3"/>
      <c r="D160" s="87"/>
      <c r="E160" s="87"/>
      <c r="F160" s="87"/>
      <c r="G160" s="87"/>
    </row>
    <row r="161" spans="1:7" ht="12.75">
      <c r="A161" s="87" t="s">
        <v>427</v>
      </c>
      <c r="B161" s="4" t="str">
        <f>Translations!B68</f>
        <v>Сложен модул за топлинната енергия (E.II.2)</v>
      </c>
      <c r="C161" s="3"/>
      <c r="D161" s="87"/>
      <c r="E161" s="87"/>
      <c r="F161" s="87"/>
      <c r="G161" s="87"/>
    </row>
    <row r="162" spans="1:7" ht="12.75">
      <c r="A162" s="87" t="s">
        <v>428</v>
      </c>
      <c r="B162" s="4" t="str">
        <f>Translations!B69</f>
        <v>Прост модул за топлинната енергия (E.II.1)</v>
      </c>
      <c r="C162" s="4" t="str">
        <f>EUconst_HeatToolComplex</f>
        <v>Сложен модул за топлинната енергия (E.II.2)</v>
      </c>
      <c r="D162" s="87"/>
      <c r="E162" s="87"/>
      <c r="F162" s="87"/>
      <c r="G162" s="87"/>
    </row>
    <row r="163" spans="1:7" ht="12.75">
      <c r="A163" s="285" t="s">
        <v>267</v>
      </c>
      <c r="B163" s="284" t="str">
        <f>Translations!$B$512</f>
        <v>последна промяна</v>
      </c>
      <c r="C163" s="280" t="s">
        <v>279</v>
      </c>
      <c r="D163" s="87"/>
      <c r="E163" s="87"/>
      <c r="F163" s="87"/>
      <c r="G163" s="87"/>
    </row>
    <row r="164" spans="1:7" ht="12.75">
      <c r="A164" s="87" t="s">
        <v>128</v>
      </c>
      <c r="B164" s="4" t="str">
        <f>Translations!B70</f>
        <v>експериментално</v>
      </c>
      <c r="C164" s="3"/>
      <c r="D164" s="87"/>
      <c r="E164" s="87"/>
      <c r="F164" s="87"/>
      <c r="G164" s="87"/>
    </row>
    <row r="165" spans="1:7" ht="12.75">
      <c r="A165" s="87" t="s">
        <v>129</v>
      </c>
      <c r="B165" s="4" t="str">
        <f>Translations!B71</f>
        <v>точка (а)</v>
      </c>
      <c r="C165" s="3"/>
      <c r="D165" s="284"/>
      <c r="E165" s="87"/>
      <c r="F165" s="87"/>
      <c r="G165" s="87"/>
    </row>
    <row r="166" spans="1:8" ht="12.75">
      <c r="A166" s="285" t="s">
        <v>34</v>
      </c>
      <c r="B166" s="284" t="str">
        <f>Translations!$B$513</f>
        <v>Национални мерки за изпълнение 2005-2008 г.</v>
      </c>
      <c r="C166" s="284" t="str">
        <f>Translations!$B$514</f>
        <v>Експериментална проверка във връзка с Националните мерки за изпълнение</v>
      </c>
      <c r="D166" s="284" t="str">
        <f>Translations!$B$515</f>
        <v>Член 9, параграф 6 от Националните мерки за изпълнение</v>
      </c>
      <c r="E166" s="284" t="str">
        <f>Translations!$B$516</f>
        <v>Член 9, параграф 9 от Националните мерки за изпълнение</v>
      </c>
      <c r="F166" s="284" t="str">
        <f>Translations!$B$479</f>
        <v>Последно изменение член 17, параграф 4.</v>
      </c>
      <c r="G166" s="284" t="str">
        <f>Translations!$B$478</f>
        <v>Нова подинсталация</v>
      </c>
      <c r="H166" s="280" t="s">
        <v>279</v>
      </c>
    </row>
    <row r="167" spans="1:7" ht="12.75" customHeight="1">
      <c r="A167" s="285" t="s">
        <v>227</v>
      </c>
      <c r="B167" s="284" t="str">
        <f>Translations!$B$517</f>
        <v>а) Изтекъл е срокът на разрешителното за емисии на парникови газове, на действащото разрешително съгласно Директива 2008/1/ЕО или на друго съответно разрешително за околната среда</v>
      </c>
      <c r="C167" s="284" t="str">
        <f>Translations!$B$518</f>
        <v>б) разрешителното по буква а) е било отнето</v>
      </c>
      <c r="D167" s="284" t="str">
        <f>Translations!$B$519</f>
        <v>в) Експлоатацията на инсталацията е технически невъзможна</v>
      </c>
      <c r="E167" s="284" t="str">
        <f>Translations!$B$520</f>
        <v>г) Инсталацията не се експлоатира, въпреки че по-рано се е експлоатирала, като възобновяването на експлоатацията е технически невъзможно</v>
      </c>
      <c r="F167" s="284" t="str">
        <f>Translations!$B$521</f>
        <v>д) Инсталацията не се експлоатира, въпреки че по-рано се е експлоатирала, като операторът не може да потвърди дали експлоатацията на тази инсталация може да бъде възобновена в рамките на 6 месеца след прекратяването на експлоатацията.</v>
      </c>
      <c r="G167" s="280" t="s">
        <v>279</v>
      </c>
    </row>
    <row r="168" spans="1:7" ht="12.75">
      <c r="A168" s="285" t="s">
        <v>224</v>
      </c>
      <c r="B168" s="284" t="str">
        <f>Translations!$B$522</f>
        <v>за посочената година няма частично спиране!</v>
      </c>
      <c r="C168" s="280" t="s">
        <v>279</v>
      </c>
      <c r="D168" s="87"/>
      <c r="E168" s="87"/>
      <c r="F168" s="87"/>
      <c r="G168" s="87"/>
    </row>
    <row r="169" spans="1:7" ht="12.75">
      <c r="A169" s="285" t="s">
        <v>280</v>
      </c>
      <c r="B169" s="284" t="str">
        <f>Translations!$B$523</f>
        <v>увеличаване на капацитета &lt; 10%</v>
      </c>
      <c r="C169" s="280" t="s">
        <v>279</v>
      </c>
      <c r="D169" s="87"/>
      <c r="E169" s="87"/>
      <c r="F169" s="87"/>
      <c r="G169" s="87"/>
    </row>
    <row r="170" spans="1:7" ht="12.75">
      <c r="A170" s="285" t="s">
        <v>84</v>
      </c>
      <c r="B170" s="284" t="str">
        <f>Translations!$B$524</f>
        <v>намаляване на капацитета &lt; 10%</v>
      </c>
      <c r="C170" s="280" t="s">
        <v>279</v>
      </c>
      <c r="D170" s="87"/>
      <c r="E170" s="87"/>
      <c r="F170" s="87"/>
      <c r="G170" s="87"/>
    </row>
    <row r="171" spans="1:7" ht="12.75">
      <c r="A171" s="285" t="s">
        <v>276</v>
      </c>
      <c r="B171" s="284" t="str">
        <f>Translations!$B$525</f>
        <v>не е достигнат минимумът от 40 % </v>
      </c>
      <c r="C171" s="280" t="s">
        <v>279</v>
      </c>
      <c r="D171" s="87"/>
      <c r="E171" s="87"/>
      <c r="F171" s="87"/>
      <c r="G171" s="87"/>
    </row>
    <row r="172" spans="1:7" ht="12.75">
      <c r="A172" s="285" t="s">
        <v>225</v>
      </c>
      <c r="B172" s="284" t="str">
        <f>Translations!$B$526</f>
        <v>Само една първа подинсталация!</v>
      </c>
      <c r="C172" s="280" t="s">
        <v>279</v>
      </c>
      <c r="D172" s="87"/>
      <c r="E172" s="87"/>
      <c r="F172" s="87"/>
      <c r="G172" s="87"/>
    </row>
    <row r="173" spans="1:7" ht="12.75">
      <c r="A173" s="285" t="s">
        <v>226</v>
      </c>
      <c r="B173" s="284" t="str">
        <f>Translations!$B$527</f>
        <v>Изберете поне една нова подинсталация!</v>
      </c>
      <c r="C173" s="280" t="s">
        <v>279</v>
      </c>
      <c r="D173" s="87"/>
      <c r="E173" s="87"/>
      <c r="F173" s="87"/>
      <c r="G173" s="87"/>
    </row>
    <row r="174" spans="1:7" ht="12.75">
      <c r="A174" s="285" t="s">
        <v>415</v>
      </c>
      <c r="B174" s="284" t="str">
        <f>Translations!$B$528</f>
        <v>Изберете вида на промените за настоящата заявка!</v>
      </c>
      <c r="C174" s="280" t="s">
        <v>279</v>
      </c>
      <c r="D174" s="87"/>
      <c r="E174" s="87"/>
      <c r="F174" s="87"/>
      <c r="G174" s="87"/>
    </row>
    <row r="175" spans="1:7" ht="12.75">
      <c r="A175" s="87" t="s">
        <v>127</v>
      </c>
      <c r="B175" s="284" t="str">
        <f>Translations!$B$529</f>
        <v>Задължително е да се отговори на въпроси б) и г)!</v>
      </c>
      <c r="C175" s="3"/>
      <c r="D175" s="87"/>
      <c r="E175" s="87"/>
      <c r="F175" s="87"/>
      <c r="G175" s="87"/>
    </row>
    <row r="176" spans="1:7" ht="12.75">
      <c r="A176" s="87" t="s">
        <v>102</v>
      </c>
      <c r="B176" s="284" t="str">
        <f>Translations!$B$530</f>
        <v>Задължително е да се отговори на въпрос д) в A.II.2!</v>
      </c>
      <c r="C176" s="3"/>
      <c r="D176" s="87"/>
      <c r="E176" s="87"/>
      <c r="F176" s="87"/>
      <c r="G176" s="87"/>
    </row>
    <row r="177" spans="1:7" ht="12.75">
      <c r="A177" s="87" t="s">
        <v>126</v>
      </c>
      <c r="B177" s="284" t="str">
        <f>Translations!B637</f>
        <v>Задължително е да се отговори на въпрос (f) от раздел A.I.!</v>
      </c>
      <c r="C177" s="3"/>
      <c r="D177" s="87"/>
      <c r="E177" s="87"/>
      <c r="F177" s="87"/>
      <c r="G177" s="87"/>
    </row>
    <row r="178" spans="1:7" ht="12.75">
      <c r="A178" s="285" t="s">
        <v>296</v>
      </c>
      <c r="B178" s="284" t="str">
        <f>Translations!$B$531</f>
        <v>Няма значителна промяна в капацитета в съответствие с член 3, букви и) и й) от Решение № 2011/278/ЕС!</v>
      </c>
      <c r="C178" s="280" t="s">
        <v>279</v>
      </c>
      <c r="D178" s="87"/>
      <c r="E178" s="87"/>
      <c r="F178" s="87"/>
      <c r="G178" s="87"/>
    </row>
    <row r="179" spans="1:7" ht="12.75">
      <c r="A179" s="285" t="s">
        <v>229</v>
      </c>
      <c r="B179" s="284" t="str">
        <f>Translations!$B$532</f>
        <v>Позиция д) не е в сила за инсталации, които се държат в резерв или режим на готовност, както и за инсталации, които се експлоатират по сезонен график.</v>
      </c>
      <c r="C179" s="280" t="s">
        <v>279</v>
      </c>
      <c r="D179" s="87"/>
      <c r="E179" s="87"/>
      <c r="F179" s="87"/>
      <c r="G179" s="87"/>
    </row>
    <row r="180" spans="1:7" ht="12.75">
      <c r="A180" s="87" t="s">
        <v>130</v>
      </c>
      <c r="B180" s="4" t="str">
        <f>Translations!B72</f>
        <v>Поне едно име на подинсталация е въведено повече от един път. Моля поправете!</v>
      </c>
      <c r="C180" s="3"/>
      <c r="D180" s="87"/>
      <c r="E180" s="87"/>
      <c r="F180" s="87"/>
      <c r="G180" s="87"/>
    </row>
    <row r="181" spans="1:7" ht="12.75">
      <c r="A181" s="87" t="s">
        <v>131</v>
      </c>
      <c r="B181" s="4" t="str">
        <f>Translations!B73</f>
        <v>Трябва да въведете поне една подинсталация в раздели III.1 или III.2!</v>
      </c>
      <c r="C181" s="3"/>
      <c r="D181" s="87"/>
      <c r="E181" s="87"/>
      <c r="F181" s="87"/>
      <c r="G181" s="87"/>
    </row>
    <row r="182" spans="1:7" ht="12.75">
      <c r="A182" s="87" t="s">
        <v>132</v>
      </c>
      <c r="B182" s="4" t="str">
        <f>Translations!B74</f>
        <v>Моля въведете за всеки вид подинсталация дали присъства в разглеждания случай или не! </v>
      </c>
      <c r="C182" s="3"/>
      <c r="D182" s="87"/>
      <c r="E182" s="87"/>
      <c r="F182" s="87"/>
      <c r="G182" s="87"/>
    </row>
    <row r="183" spans="1:7" ht="12.75">
      <c r="A183" s="87" t="s">
        <v>409</v>
      </c>
      <c r="B183" s="4" t="str">
        <f>Translations!B75</f>
        <v>Моля, въведете информация по точки (b) и (с) по-горе!</v>
      </c>
      <c r="C183" s="3"/>
      <c r="D183" s="87"/>
      <c r="E183" s="87"/>
      <c r="F183" s="87"/>
      <c r="G183" s="87"/>
    </row>
    <row r="184" spans="1:7" ht="12.75">
      <c r="A184" s="87" t="s">
        <v>410</v>
      </c>
      <c r="B184" s="4" t="str">
        <f>Translations!B76</f>
        <v>Моля въведете подробни данни за потока—източник, като започнете от раздел II по-долу!</v>
      </c>
      <c r="C184" s="3"/>
      <c r="D184" s="87"/>
      <c r="E184" s="87"/>
      <c r="F184" s="87"/>
      <c r="G184" s="87"/>
    </row>
    <row r="185" spans="1:7" ht="12.75">
      <c r="A185" s="87" t="s">
        <v>411</v>
      </c>
      <c r="B185" s="4" t="str">
        <f>Translations!B77</f>
        <v>Моля, продължете да въвеждате сумарните емисии в раздел D.I.2 в работния лист (sheet) „D_Emissions“!</v>
      </c>
      <c r="C185" s="3"/>
      <c r="D185" s="87"/>
      <c r="E185" s="87"/>
      <c r="F185" s="87"/>
      <c r="G185" s="87"/>
    </row>
    <row r="186" spans="1:7" ht="12.75">
      <c r="A186" s="87" t="s">
        <v>231</v>
      </c>
      <c r="B186" s="4" t="str">
        <f>Translations!B78</f>
        <v>Моля въведете също данни в раздел E.II.4!</v>
      </c>
      <c r="C186" s="3"/>
      <c r="D186" s="87"/>
      <c r="E186" s="87"/>
      <c r="F186" s="87"/>
      <c r="G186" s="87"/>
    </row>
    <row r="187" spans="1:7" ht="12.75">
      <c r="A187" s="87" t="s">
        <v>230</v>
      </c>
      <c r="B187" s="4" t="str">
        <f>Translations!B79</f>
        <v>Моля въведете също данни в раздел D.II.3.a.!</v>
      </c>
      <c r="C187" s="3"/>
      <c r="D187" s="87"/>
      <c r="E187" s="87"/>
      <c r="F187" s="87"/>
      <c r="G187" s="87"/>
    </row>
    <row r="188" spans="1:7" ht="12.75">
      <c r="A188" s="87" t="s">
        <v>303</v>
      </c>
      <c r="B188" s="4" t="str">
        <f>Translations!B80</f>
        <v>Подробни указания за въвеждането на данни в този модул могат да бъдат намерени в началото на модула. </v>
      </c>
      <c r="C188" s="3"/>
      <c r="D188" s="87"/>
      <c r="E188" s="87"/>
      <c r="F188" s="87"/>
      <c r="G188" s="87"/>
    </row>
    <row r="189" spans="1:7" ht="12.75">
      <c r="A189" s="87" t="s">
        <v>304</v>
      </c>
      <c r="B189" s="4" t="str">
        <f>Translations!B81</f>
        <v>Моля, продължете в работен лист (sheet) „F_ProductBM“!</v>
      </c>
      <c r="C189" s="3"/>
      <c r="D189" s="87"/>
      <c r="E189" s="87"/>
      <c r="F189" s="87"/>
      <c r="G189" s="87"/>
    </row>
    <row r="190" spans="1:7" ht="12.75">
      <c r="A190" s="87" t="s">
        <v>305</v>
      </c>
      <c r="B190" s="4" t="str">
        <f>Translations!B82</f>
        <v>Моля, продължете в раздел E.II.2</v>
      </c>
      <c r="C190" s="3"/>
      <c r="D190" s="87"/>
      <c r="E190" s="87"/>
      <c r="F190" s="87"/>
      <c r="G190" s="87"/>
    </row>
    <row r="191" spans="1:7" ht="12.75">
      <c r="A191" s="87" t="s">
        <v>306</v>
      </c>
      <c r="B191" s="4" t="str">
        <f>Translations!B83</f>
        <v>Моля, продължете със следващите точки по-долу</v>
      </c>
      <c r="C191" s="3"/>
      <c r="D191" s="87"/>
      <c r="E191" s="87"/>
      <c r="F191" s="87"/>
      <c r="G191" s="87"/>
    </row>
    <row r="192" spans="1:7" ht="12.75">
      <c r="A192" s="87" t="s">
        <v>233</v>
      </c>
      <c r="B192" s="4" t="str">
        <f>Translations!B84</f>
        <v>Моля, използвайте модула за заменяемост на електроенергия по-долу.</v>
      </c>
      <c r="C192" s="3"/>
      <c r="D192" s="87"/>
      <c r="E192" s="87"/>
      <c r="F192" s="87"/>
      <c r="G192" s="87"/>
    </row>
    <row r="193" spans="1:7" ht="12.75">
      <c r="A193" s="87" t="s">
        <v>324</v>
      </c>
      <c r="B193" s="4" t="str">
        <f>Translations!B85</f>
        <v>Моля, продължете с точка (d) по-долу.</v>
      </c>
      <c r="C193" s="3"/>
      <c r="D193" s="87"/>
      <c r="E193" s="87"/>
      <c r="F193" s="87"/>
      <c r="G193" s="87"/>
    </row>
    <row r="194" spans="1:7" ht="12.75">
      <c r="A194" s="87" t="s">
        <v>325</v>
      </c>
      <c r="B194" s="4" t="str">
        <f>Translations!B86</f>
        <v>Ако посоченото тук не присъства във Вашата инсталация, продължете със следващите точки.</v>
      </c>
      <c r="C194" s="3"/>
      <c r="D194" s="87"/>
      <c r="E194" s="87"/>
      <c r="F194" s="87"/>
      <c r="G194" s="87"/>
    </row>
    <row r="195" spans="1:7" ht="12.75">
      <c r="A195" s="87" t="s">
        <v>328</v>
      </c>
      <c r="B195" s="4" t="str">
        <f>Translations!B87</f>
        <v>Датите трябва да бъдат подредени по възходящ ред!</v>
      </c>
      <c r="C195" s="3"/>
      <c r="D195" s="87"/>
      <c r="E195" s="87"/>
      <c r="F195" s="87"/>
      <c r="G195" s="87"/>
    </row>
    <row r="196" spans="1:7" ht="12.75">
      <c r="A196" s="87" t="s">
        <v>329</v>
      </c>
      <c r="B196" s="4" t="str">
        <f>Translations!B88</f>
        <v>Първоначалната дата трябва да е след 30 юни 2011 г.!</v>
      </c>
      <c r="C196" s="3"/>
      <c r="D196" s="87"/>
      <c r="E196" s="87"/>
      <c r="F196" s="87"/>
      <c r="G196" s="87"/>
    </row>
    <row r="197" spans="1:7" ht="12.75">
      <c r="A197" s="87" t="s">
        <v>99</v>
      </c>
      <c r="B197" s="4" t="str">
        <f>Translations!B89</f>
        <v>Всички дати трябва да са след 30 юни 2011 г.!</v>
      </c>
      <c r="C197" s="3"/>
      <c r="D197" s="87"/>
      <c r="E197" s="87"/>
      <c r="F197" s="87"/>
      <c r="G197" s="87"/>
    </row>
    <row r="198" spans="1:7" ht="12.75">
      <c r="A198" s="87" t="s">
        <v>330</v>
      </c>
      <c r="B198" s="4" t="str">
        <f>Translations!B90</f>
        <v>Липсва първоначалната дата!</v>
      </c>
      <c r="C198" s="3"/>
      <c r="D198" s="87"/>
      <c r="E198" s="87"/>
      <c r="F198" s="87"/>
      <c r="G198" s="87"/>
    </row>
    <row r="199" spans="1:7" ht="12.75">
      <c r="A199" s="87" t="s">
        <v>400</v>
      </c>
      <c r="B199" s="284" t="str">
        <f>Translations!$B$533</f>
        <v>Липсва вид дейност (A.I.3.a)!</v>
      </c>
      <c r="C199" s="3"/>
      <c r="D199" s="87"/>
      <c r="E199" s="87"/>
      <c r="F199" s="87"/>
      <c r="G199" s="87"/>
    </row>
    <row r="200" spans="1:7" ht="12.75">
      <c r="A200" s="87" t="s">
        <v>430</v>
      </c>
      <c r="B200" s="4" t="str">
        <f>Translations!B91</f>
        <v>Моля, въведете данни в този раздел!</v>
      </c>
      <c r="C200" s="3"/>
      <c r="D200" s="87"/>
      <c r="E200" s="87"/>
      <c r="F200" s="87"/>
      <c r="G200" s="87"/>
    </row>
    <row r="201" spans="1:7" ht="12.75">
      <c r="A201" s="87" t="s">
        <v>100</v>
      </c>
      <c r="B201" s="284" t="str">
        <f>Translations!$B$335</f>
        <v>&lt;&lt;&lt;Щракнете тук за да продължите към следващия работен лист (sheet)&gt;&gt;&gt;</v>
      </c>
      <c r="C201" s="3"/>
      <c r="D201" s="87"/>
      <c r="E201" s="87"/>
      <c r="F201" s="87"/>
      <c r="G201" s="87"/>
    </row>
    <row r="202" spans="1:7" ht="12.75">
      <c r="A202" s="87" t="s">
        <v>431</v>
      </c>
      <c r="B202" s="4" t="str">
        <f>Translations!B92</f>
        <v>Моля, продължете със следващата подинсталация!</v>
      </c>
      <c r="C202" s="3"/>
      <c r="D202" s="87"/>
      <c r="E202" s="87"/>
      <c r="F202" s="87"/>
      <c r="G202" s="87"/>
    </row>
    <row r="203" spans="1:7" ht="12.75">
      <c r="A203" s="87" t="s">
        <v>432</v>
      </c>
      <c r="B203" s="4" t="str">
        <f>Translations!B93</f>
        <v>Щракнете тук за връщане към работен лист (sheet) „F_ProductBM“</v>
      </c>
      <c r="C203" s="3"/>
      <c r="D203" s="87"/>
      <c r="E203" s="87"/>
      <c r="F203" s="87"/>
      <c r="G203" s="87"/>
    </row>
    <row r="204" spans="1:7" ht="12.75">
      <c r="A204" s="87" t="s">
        <v>476</v>
      </c>
      <c r="B204" s="4" t="str">
        <f>Translations!B94</f>
        <v>Моля, продължете с въвеждането на данните по точки (с) и (d)!</v>
      </c>
      <c r="C204" s="3"/>
      <c r="D204" s="87"/>
      <c r="E204" s="87"/>
      <c r="F204" s="87"/>
      <c r="G204" s="87"/>
    </row>
    <row r="205" spans="1:7" ht="12.75">
      <c r="A205" s="87" t="s">
        <v>477</v>
      </c>
      <c r="B205" s="4" t="str">
        <f>Translations!B95</f>
        <v>Моля, продължете с точка (e)!</v>
      </c>
      <c r="C205" s="3"/>
      <c r="D205" s="87"/>
      <c r="E205" s="87"/>
      <c r="F205" s="87"/>
      <c r="G205" s="87"/>
    </row>
    <row r="206" spans="1:7" ht="12.75">
      <c r="A206" s="87" t="s">
        <v>82</v>
      </c>
      <c r="B206" s="4" t="str">
        <f>Translations!B96</f>
        <v>Трябва да се приложи член 9, параграф 6 от Решението относно изпълнителните мерки (ОИМ)!</v>
      </c>
      <c r="C206" s="3"/>
      <c r="D206" s="87"/>
      <c r="E206" s="87"/>
      <c r="F206" s="87"/>
      <c r="G206" s="87"/>
    </row>
    <row r="207" spans="1:7" ht="12.75">
      <c r="A207" s="285" t="s">
        <v>509</v>
      </c>
      <c r="B207" s="284" t="str">
        <f>Translations!$B$482</f>
        <v>Съответно количество целулоза, доставено на пазара</v>
      </c>
      <c r="C207" s="3"/>
      <c r="D207" s="87"/>
      <c r="E207" s="87"/>
      <c r="F207" s="87"/>
      <c r="G207" s="87"/>
    </row>
    <row r="208" spans="1:7" ht="12.75">
      <c r="A208" s="285" t="s">
        <v>265</v>
      </c>
      <c r="B208" s="284" t="str">
        <f>Translations!$B$483</f>
        <v>Съответно произведено количество целулоза </v>
      </c>
      <c r="C208" s="3"/>
      <c r="D208" s="87"/>
      <c r="E208" s="87"/>
      <c r="F208" s="87"/>
      <c r="G208" s="87"/>
    </row>
    <row r="209" spans="1:7" ht="12.75">
      <c r="A209" s="285" t="s">
        <v>537</v>
      </c>
      <c r="B209" s="284" t="str">
        <f>Translations!$B$538</f>
        <v>Задължително е да се отговори на въпрос (a) от раздел A.I!</v>
      </c>
      <c r="C209" s="3"/>
      <c r="D209" s="87"/>
      <c r="E209" s="87"/>
      <c r="F209" s="87"/>
      <c r="G209" s="87"/>
    </row>
    <row r="210" spans="1:7" ht="12.75">
      <c r="A210" s="285" t="s">
        <v>538</v>
      </c>
      <c r="B210" s="284" t="str">
        <f>Translations!$B$539</f>
        <v>Операторът е потвърдил, че настоящата заявка е свързана изключително с промени на границите на инсталацията и на действащите разрешителни, и също така е потвърдил, че няма физически промени в инсталацията.</v>
      </c>
      <c r="C210" s="3"/>
      <c r="D210" s="87"/>
      <c r="E210" s="87"/>
      <c r="F210" s="87"/>
      <c r="G210" s="87"/>
    </row>
    <row r="211" spans="1:7" ht="12.75">
      <c r="A211" s="285" t="s">
        <v>548</v>
      </c>
      <c r="B211" s="284" t="str">
        <f>Translations!B627</f>
        <v>Сливане</v>
      </c>
      <c r="C211" s="329" t="str">
        <f>Translations!B628</f>
        <v>Разделяне</v>
      </c>
      <c r="D211" s="285" t="str">
        <f>Translations!B629</f>
        <v>Прехвърляне на части от инсталацията</v>
      </c>
      <c r="E211" s="87"/>
      <c r="F211" s="87"/>
      <c r="G211" s="87"/>
    </row>
    <row r="212" spans="1:7" ht="12.75">
      <c r="A212" s="285" t="s">
        <v>551</v>
      </c>
      <c r="B212" s="284" t="str">
        <f>Translations!B635</f>
        <v>Сумата на разпределените квоти в раздели III.1 и III.2 по-долу надхвърля първоначалното количество разпределени квоти преди сливането или разделянето! </v>
      </c>
      <c r="C212" s="87"/>
      <c r="D212" s="87"/>
      <c r="E212" s="87"/>
      <c r="F212" s="87"/>
      <c r="G212" s="87"/>
    </row>
    <row r="213" spans="1:7" ht="12.75">
      <c r="A213" s="87"/>
      <c r="B213" s="87"/>
      <c r="C213" s="87"/>
      <c r="D213" s="87"/>
      <c r="E213" s="87"/>
      <c r="F213" s="87"/>
      <c r="G213" s="87"/>
    </row>
    <row r="214" s="118" customFormat="1" ht="12.75">
      <c r="A214" s="118" t="s">
        <v>292</v>
      </c>
    </row>
    <row r="215" spans="1:13" s="92" customFormat="1" ht="12.75">
      <c r="A215" s="119" t="s">
        <v>258</v>
      </c>
      <c r="B215" s="119" t="s">
        <v>520</v>
      </c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1:4" s="89" customFormat="1" ht="12.75">
      <c r="A216" s="89">
        <v>1</v>
      </c>
      <c r="B216" s="119" t="str">
        <f>IF(LEN(Translations!B138)&gt;250,LEFT(Translations!B138,250),Translations!B138)</f>
        <v>Изгаряне на горива в инсталации с обща номинална входяща топлинна мощност над 20 MW (с изключение на инсталациите за изгаряне на опасни или твърди битови отпадъци)</v>
      </c>
      <c r="D216" s="92"/>
    </row>
    <row r="217" spans="1:2" s="92" customFormat="1" ht="12.75">
      <c r="A217" s="92">
        <v>2</v>
      </c>
      <c r="B217" s="119" t="str">
        <f>IF(LEN(Translations!B139)&gt;250,LEFT(Translations!B139,250),Translations!B139)</f>
        <v>Рафиниране на минерални масла </v>
      </c>
    </row>
    <row r="218" spans="1:2" s="92" customFormat="1" ht="12.75">
      <c r="A218" s="92">
        <v>3</v>
      </c>
      <c r="B218" s="119" t="str">
        <f>IF(LEN(Translations!B140)&gt;250,LEFT(Translations!B140,250),Translations!B140)</f>
        <v>Производство на кокс </v>
      </c>
    </row>
    <row r="219" spans="1:2" s="92" customFormat="1" ht="12.75">
      <c r="A219" s="92">
        <v>4</v>
      </c>
      <c r="B219" s="119" t="str">
        <f>IF(LEN(Translations!B141)&gt;250,LEFT(Translations!B141,250),Translations!B141)</f>
        <v>Пържене и агломерация, включително гранулиране, на метална руда (включително сулфидна руда) </v>
      </c>
    </row>
    <row r="220" spans="1:2" s="92" customFormat="1" ht="12.75">
      <c r="A220" s="92">
        <v>5</v>
      </c>
      <c r="B220" s="119" t="str">
        <f>IF(LEN(Translations!B142)&gt;250,LEFT(Translations!B142,250),Translations!B142)</f>
        <v>Производство на чугун или стомана (първично или вторично стапяне), включително непрекъснато леене с капацитет над 2,5 тона за час </v>
      </c>
    </row>
    <row r="221" spans="1:2" s="92" customFormat="1" ht="12.75">
      <c r="A221" s="92">
        <v>6</v>
      </c>
      <c r="B221" s="119" t="str">
        <f>IF(LEN(Translations!B143)&gt;250,LEFT(Translations!B143,250),Translations!B143)</f>
        <v>Производство или преработка на черни метали (включително феросплави) в случай на използване на горивни съоръжения с обща номинална входяща топлинна мощност над 20 MW. Преработката включва, наред с други съоръжения, използването на прокатни станове, м</v>
      </c>
    </row>
    <row r="222" spans="1:2" s="92" customFormat="1" ht="12.75">
      <c r="A222" s="92">
        <v>7</v>
      </c>
      <c r="B222" s="119" t="str">
        <f>IF(LEN(Translations!B144)&gt;250,LEFT(Translations!B144,250),Translations!B144)</f>
        <v>Производство на първичен алуминий </v>
      </c>
    </row>
    <row r="223" spans="1:2" s="92" customFormat="1" ht="12.75">
      <c r="A223" s="92">
        <v>8</v>
      </c>
      <c r="B223" s="119" t="str">
        <f>IF(LEN(Translations!B145)&gt;250,LEFT(Translations!B145,250),Translations!B145)</f>
        <v>Производство на вторичен алуминий при използването на горивни съоръжения с обща номинална входяща топлинна мощност над 20 MW</v>
      </c>
    </row>
    <row r="224" spans="1:2" s="92" customFormat="1" ht="12.75">
      <c r="A224" s="92">
        <v>9</v>
      </c>
      <c r="B224" s="119" t="str">
        <f>IF(LEN(Translations!B146)&gt;250,LEFT(Translations!B146,250),Translations!B146)</f>
        <v>Производство или преработка на цветни метали, включително производство на сплави, рафиниране, леене и др., в случай на използване на горивни съоръжения с обща номинална входяща топлинна мощност (включително горивата, използвани като редуциращи агенти</v>
      </c>
    </row>
    <row r="225" spans="1:2" s="92" customFormat="1" ht="12.75">
      <c r="A225" s="92">
        <v>10</v>
      </c>
      <c r="B225" s="119" t="str">
        <f>IF(LEN(Translations!B147)&gt;250,LEFT(Translations!B147,250),Translations!B147)</f>
        <v>Производство на циментен клинкер в ротационни пещи с производствен капацитет над 500 тона дневно или в други пещи с производствен капацитет над 50 тона дневно </v>
      </c>
    </row>
    <row r="226" spans="1:2" s="92" customFormat="1" ht="12.75">
      <c r="A226" s="92">
        <v>11</v>
      </c>
      <c r="B226" s="119" t="str">
        <f>IF(LEN(Translations!B148)&gt;250,LEFT(Translations!B148,250),Translations!B148)</f>
        <v>Производство на вар или калциниране на доломит или магнезит в ротационни или други пещи с производствен капацитет над 50 тона дневно </v>
      </c>
    </row>
    <row r="227" spans="1:2" s="92" customFormat="1" ht="12.75">
      <c r="A227" s="92">
        <v>12</v>
      </c>
      <c r="B227" s="119" t="str">
        <f>IF(LEN(Translations!B149)&gt;250,LEFT(Translations!B149,250),Translations!B149)</f>
        <v>Производство на стъкло, включително стъклени влакна, с капацитет на топене над 20 тона дневно </v>
      </c>
    </row>
    <row r="228" spans="1:2" s="92" customFormat="1" ht="12.75">
      <c r="A228" s="92">
        <v>13</v>
      </c>
      <c r="B228" s="119" t="str">
        <f>IF(LEN(Translations!B150)&gt;250,LEFT(Translations!B150,250),Translations!B150)</f>
        <v>Изработване на керамични продукти чрез изпичане, по-конкретно покривни керемиди, тухли, огнеупорни тухли, плочи, каменинови или порцеланови изделия, с производствен капацитет над 75 тона дневно </v>
      </c>
    </row>
    <row r="229" spans="1:2" s="92" customFormat="1" ht="12.75">
      <c r="A229" s="92">
        <v>14</v>
      </c>
      <c r="B229" s="119" t="str">
        <f>IF(LEN(Translations!B151)&gt;250,LEFT(Translations!B151,250),Translations!B151)</f>
        <v>Производство на изолационни материали от минерална или стъклена вата с използване на стъкло, камък или шлака, с капацитет на топене над 20 тона дневно </v>
      </c>
    </row>
    <row r="230" spans="1:2" s="92" customFormat="1" ht="12.75">
      <c r="A230" s="92">
        <v>15</v>
      </c>
      <c r="B230" s="119" t="str">
        <f>IF(LEN(Translations!B152)&gt;250,LEFT(Translations!B152,250),Translations!B152)</f>
        <v>Сушене или калциниране на гипс или производство на гипсови плоскости и други продукти от гипс, в случай на използване на горивни съоръжения с обща номинална входяща топлинна мощност над 20 MW </v>
      </c>
    </row>
    <row r="231" spans="1:2" s="92" customFormat="1" ht="12.75">
      <c r="A231" s="92">
        <v>16</v>
      </c>
      <c r="B231" s="119" t="str">
        <f>IF(LEN(Translations!B153)&gt;250,LEFT(Translations!B153,250),Translations!B153)</f>
        <v>Производство на целулоза от дървесина или от други влакнести материали </v>
      </c>
    </row>
    <row r="232" spans="1:2" s="92" customFormat="1" ht="12.75">
      <c r="A232" s="92">
        <v>17</v>
      </c>
      <c r="B232" s="119" t="str">
        <f>IF(LEN(Translations!B154)&gt;250,LEFT(Translations!B154,250),Translations!B154)</f>
        <v>Производство на хартия или картон с производствен капацитет над 20 тона дневно </v>
      </c>
    </row>
    <row r="233" spans="1:2" s="92" customFormat="1" ht="12.75">
      <c r="A233" s="92">
        <v>18</v>
      </c>
      <c r="B233" s="119" t="str">
        <f>IF(LEN(Translations!B155)&gt;250,LEFT(Translations!B155,250),Translations!B155)</f>
        <v>Производство на технически въглен с карбонизиране на органични вещества. като масла, катрани, остатъци от крекинг и дестилация, в случай на използване на съоръжения с обща номинална входяща топлинна мощност над 20 MW </v>
      </c>
    </row>
    <row r="234" spans="1:2" s="92" customFormat="1" ht="12.75">
      <c r="A234" s="92">
        <v>19</v>
      </c>
      <c r="B234" s="119" t="str">
        <f>IF(LEN(Translations!B156)&gt;250,LEFT(Translations!B156,250),Translations!B156)</f>
        <v>Производство на азотна киселина </v>
      </c>
    </row>
    <row r="235" spans="1:2" s="92" customFormat="1" ht="12.75">
      <c r="A235" s="92">
        <v>20</v>
      </c>
      <c r="B235" s="119" t="str">
        <f>IF(LEN(Translations!B157)&gt;250,LEFT(Translations!B157,250),Translations!B157)</f>
        <v>Производство на адипинова киселина </v>
      </c>
    </row>
    <row r="236" spans="1:2" s="92" customFormat="1" ht="12.75">
      <c r="A236" s="92">
        <v>21</v>
      </c>
      <c r="B236" s="119" t="str">
        <f>IF(LEN(Translations!B158)&gt;250,LEFT(Translations!B158,250),Translations!B158)</f>
        <v>Производство на глиоксал и глиоксилова киселина</v>
      </c>
    </row>
    <row r="237" spans="1:2" s="92" customFormat="1" ht="12.75">
      <c r="A237" s="92">
        <v>22</v>
      </c>
      <c r="B237" s="119" t="str">
        <f>IF(LEN(Translations!B159)&gt;250,LEFT(Translations!B159,250),Translations!B159)</f>
        <v>Производство на амоняк </v>
      </c>
    </row>
    <row r="238" spans="1:2" s="92" customFormat="1" ht="12.75">
      <c r="A238" s="92">
        <v>23</v>
      </c>
      <c r="B238" s="119" t="str">
        <f>IF(LEN(Translations!B160)&gt;250,LEFT(Translations!B160,250),Translations!B160)</f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</row>
    <row r="239" spans="1:2" s="92" customFormat="1" ht="12.75">
      <c r="A239" s="92">
        <v>24</v>
      </c>
      <c r="B239" s="119" t="str">
        <f>IF(LEN(Translations!B161)&gt;250,LEFT(Translations!B161,250),Translations!B161)</f>
        <v>Производство на водород (H2) и синтетичен газ чрез реформинг или частично окисляване, с производствен капацитет над 25 тона дневно </v>
      </c>
    </row>
    <row r="240" spans="1:2" s="92" customFormat="1" ht="12.75">
      <c r="A240" s="92">
        <v>25</v>
      </c>
      <c r="B240" s="119" t="str">
        <f>IF(LEN(Translations!B162)&gt;250,LEFT(Translations!B162,250),Translations!B162)</f>
        <v>Производство на калцинирана сода (Na2CO3) и на натриев бикарбонат (NaHCO3) </v>
      </c>
    </row>
    <row r="241" spans="1:2" s="92" customFormat="1" ht="12.75">
      <c r="A241" s="92">
        <v>26</v>
      </c>
      <c r="B241" s="119" t="str">
        <f>IF(LEN(Translations!B163)&gt;250,LEFT(Translations!B163,250),Translations!B163)</f>
        <v>Улавяне на парникови газове от инсталации, попадащи в обхвата на Директивата за Европейската схема за търговия с емисии, с цел пренос и съхранение в геоложки обекти, за които е издадено съответно разрешение съгласно Директива 2009/31/ЕО</v>
      </c>
    </row>
    <row r="242" spans="1:2" s="92" customFormat="1" ht="12.75">
      <c r="A242" s="92">
        <v>27</v>
      </c>
      <c r="B242" s="119" t="str">
        <f>IF(LEN(Translations!B164)&gt;250,LEFT(Translations!B164,250),Translations!B164)</f>
        <v>Пренос на парникови газове чрез тръбопроводи с цел съхранение в геоложки обекти, за които е издадено съответно разрешение съгласно Директива 2009/31/ЕО</v>
      </c>
    </row>
    <row r="243" spans="1:2" s="92" customFormat="1" ht="12.75">
      <c r="A243" s="92">
        <v>28</v>
      </c>
      <c r="B243" s="119" t="str">
        <f>IF(LEN(Translations!B165)&gt;250,LEFT(Translations!B165,250),Translations!B165)</f>
        <v>Съхранение на парникови газове в геоложки обекти, за които е издадено съответно разрешение съгласно Директива 2009/31/ЕО</v>
      </c>
    </row>
    <row r="244" s="92" customFormat="1" ht="12.75">
      <c r="A244" s="120"/>
    </row>
    <row r="245" s="92" customFormat="1" ht="12.75"/>
    <row r="246" s="92" customFormat="1" ht="12.75"/>
    <row r="247" s="118" customFormat="1" ht="12.75">
      <c r="A247" s="118" t="s">
        <v>519</v>
      </c>
    </row>
    <row r="248" spans="1:13" s="98" customFormat="1" ht="51">
      <c r="A248" s="121" t="s">
        <v>520</v>
      </c>
      <c r="B248" s="121" t="s">
        <v>258</v>
      </c>
      <c r="C248" s="121" t="s">
        <v>521</v>
      </c>
      <c r="D248" s="121" t="s">
        <v>522</v>
      </c>
      <c r="E248" s="121" t="s">
        <v>523</v>
      </c>
      <c r="F248" s="121" t="s">
        <v>125</v>
      </c>
      <c r="G248" s="121" t="s">
        <v>524</v>
      </c>
      <c r="H248" s="121" t="s">
        <v>525</v>
      </c>
      <c r="I248" s="121" t="s">
        <v>526</v>
      </c>
      <c r="J248" s="121" t="s">
        <v>264</v>
      </c>
      <c r="K248" s="122" t="s">
        <v>232</v>
      </c>
      <c r="L248" s="349" t="s">
        <v>87</v>
      </c>
      <c r="M248" s="292" t="s">
        <v>279</v>
      </c>
    </row>
    <row r="249" spans="1:15" ht="12.75">
      <c r="A249" s="120" t="str">
        <f>VLOOKUP(B249,$A$216:$B$243,2,0)</f>
        <v>Рафиниране на минерални масла </v>
      </c>
      <c r="B249" s="82">
        <v>2</v>
      </c>
      <c r="C249" s="82">
        <v>1</v>
      </c>
      <c r="D249" s="85" t="str">
        <f aca="true" t="shared" si="0" ref="D249:D280">CONCATENATE(TEXT(B249,"00"),".",TEXT(C249,"00"))</f>
        <v>02.01</v>
      </c>
      <c r="E249" s="116" t="str">
        <f>Translations!B166</f>
        <v>Нефтохимически продукти</v>
      </c>
      <c r="F249" s="116" t="s">
        <v>527</v>
      </c>
      <c r="G249" s="116" t="b">
        <v>1</v>
      </c>
      <c r="H249" s="123">
        <v>0.0295</v>
      </c>
      <c r="I249" s="116" t="b">
        <v>1</v>
      </c>
      <c r="J249" s="113" t="str">
        <f>Translations!$B$97</f>
        <v>Моля, използвайте модула на приведените на база СО2 тонове (CWT) в работния лист (sheet) „ SpecialBM“ за изчисляване на историческите равнища на активност.</v>
      </c>
      <c r="K249" s="124" t="str">
        <f>"#JUMP_H_I"</f>
        <v>#JUMP_H_I</v>
      </c>
      <c r="L249" s="348">
        <v>0.902</v>
      </c>
      <c r="N249" s="477"/>
      <c r="O249" s="477"/>
    </row>
    <row r="250" spans="1:15" ht="12.75">
      <c r="A250" s="120" t="str">
        <f aca="true" t="shared" si="1" ref="A250:A300">VLOOKUP(B250,$A$216:$B$243,2,0)</f>
        <v>Производство на кокс </v>
      </c>
      <c r="B250" s="82">
        <v>3</v>
      </c>
      <c r="C250" s="82">
        <f>C249+1</f>
        <v>2</v>
      </c>
      <c r="D250" s="85" t="str">
        <f t="shared" si="0"/>
        <v>03.02</v>
      </c>
      <c r="E250" s="116" t="str">
        <f>Translations!B167</f>
        <v>Кокс</v>
      </c>
      <c r="F250" s="116" t="str">
        <f aca="true" t="shared" si="2" ref="F250:F274">EUconst_Tons</f>
        <v>тона</v>
      </c>
      <c r="G250" s="116" t="b">
        <v>1</v>
      </c>
      <c r="H250" s="123">
        <v>0.286</v>
      </c>
      <c r="I250" s="116" t="b">
        <v>0</v>
      </c>
      <c r="J250" s="113">
        <f>""</f>
      </c>
      <c r="K250" s="124">
        <f>""</f>
      </c>
      <c r="L250" s="348">
        <v>0.96</v>
      </c>
      <c r="N250" s="477"/>
      <c r="O250" s="477"/>
    </row>
    <row r="251" spans="1:15" ht="12.75">
      <c r="A251" s="120" t="str">
        <f t="shared" si="1"/>
        <v>Пържене и агломерация, включително гранулиране, на метална руда (включително сулфидна руда) </v>
      </c>
      <c r="B251" s="82">
        <v>4</v>
      </c>
      <c r="C251" s="82">
        <f aca="true" t="shared" si="3" ref="C251:C300">C250+1</f>
        <v>3</v>
      </c>
      <c r="D251" s="85" t="str">
        <f t="shared" si="0"/>
        <v>04.03</v>
      </c>
      <c r="E251" s="116" t="str">
        <f>Translations!B168</f>
        <v>Агломерат</v>
      </c>
      <c r="F251" s="116" t="str">
        <f t="shared" si="2"/>
        <v>тона</v>
      </c>
      <c r="G251" s="116" t="b">
        <v>1</v>
      </c>
      <c r="H251" s="123">
        <v>0.171</v>
      </c>
      <c r="I251" s="116" t="b">
        <v>0</v>
      </c>
      <c r="J251" s="113">
        <f>""</f>
      </c>
      <c r="K251" s="124">
        <f>""</f>
      </c>
      <c r="L251" s="348">
        <v>0.886</v>
      </c>
      <c r="N251" s="477"/>
      <c r="O251" s="477"/>
    </row>
    <row r="252" spans="1:15" ht="12.75">
      <c r="A252" s="120" t="str">
        <f t="shared" si="1"/>
        <v>Производство на чугун или стомана (първично или вторично стапяне), включително непрекъснато леене с капацитет над 2,5 тона за час </v>
      </c>
      <c r="B252" s="82">
        <v>5</v>
      </c>
      <c r="C252" s="82">
        <f t="shared" si="3"/>
        <v>4</v>
      </c>
      <c r="D252" s="85" t="str">
        <f t="shared" si="0"/>
        <v>05.04</v>
      </c>
      <c r="E252" s="116" t="str">
        <f>Translations!B169</f>
        <v>Течни черни метали (hot metal)</v>
      </c>
      <c r="F252" s="116" t="str">
        <f t="shared" si="2"/>
        <v>тона</v>
      </c>
      <c r="G252" s="116" t="b">
        <v>1</v>
      </c>
      <c r="H252" s="123">
        <v>1.328</v>
      </c>
      <c r="I252" s="116" t="b">
        <v>0</v>
      </c>
      <c r="J252" s="113">
        <f>""</f>
      </c>
      <c r="K252" s="124">
        <f>""</f>
      </c>
      <c r="L252" s="348">
        <v>0.894</v>
      </c>
      <c r="N252" s="477"/>
      <c r="O252" s="477"/>
    </row>
    <row r="253" spans="1:15" ht="12.75">
      <c r="A253" s="120" t="str">
        <f t="shared" si="1"/>
        <v>Производство на чугун или стомана (първично или вторично стапяне), включително непрекъснато леене с капацитет над 2,5 тона за час </v>
      </c>
      <c r="B253" s="82">
        <v>5</v>
      </c>
      <c r="C253" s="82">
        <f t="shared" si="3"/>
        <v>5</v>
      </c>
      <c r="D253" s="85" t="str">
        <f t="shared" si="0"/>
        <v>05.05</v>
      </c>
      <c r="E253" s="116" t="str">
        <f>Translations!B170</f>
        <v>Въглеродна стомана от електродъговa пещ</v>
      </c>
      <c r="F253" s="116" t="str">
        <f t="shared" si="2"/>
        <v>тона</v>
      </c>
      <c r="G253" s="116" t="b">
        <v>1</v>
      </c>
      <c r="H253" s="125">
        <v>0.283</v>
      </c>
      <c r="I253" s="116" t="b">
        <v>1</v>
      </c>
      <c r="J253" s="113">
        <f>""</f>
      </c>
      <c r="K253" s="124">
        <f>""</f>
      </c>
      <c r="L253" s="348">
        <v>0.798</v>
      </c>
      <c r="N253" s="477"/>
      <c r="O253" s="477"/>
    </row>
    <row r="254" spans="1:15" ht="12.75">
      <c r="A254" s="120" t="str">
        <f t="shared" si="1"/>
        <v>Производство на чугун или стомана (първично или вторично стапяне), включително непрекъснато леене с капацитет над 2,5 тона за час </v>
      </c>
      <c r="B254" s="82">
        <v>5</v>
      </c>
      <c r="C254" s="82">
        <f t="shared" si="3"/>
        <v>6</v>
      </c>
      <c r="D254" s="85" t="str">
        <f t="shared" si="0"/>
        <v>05.06</v>
      </c>
      <c r="E254" s="116" t="str">
        <f>Translations!B171</f>
        <v>Високолегирана стомана от електродъговa пещ</v>
      </c>
      <c r="F254" s="116" t="str">
        <f t="shared" si="2"/>
        <v>тона</v>
      </c>
      <c r="G254" s="116" t="b">
        <v>1</v>
      </c>
      <c r="H254" s="125">
        <v>0.352</v>
      </c>
      <c r="I254" s="116" t="b">
        <v>1</v>
      </c>
      <c r="J254" s="113">
        <f>""</f>
      </c>
      <c r="K254" s="124">
        <f>""</f>
      </c>
      <c r="L254" s="348">
        <v>0.802</v>
      </c>
      <c r="N254" s="477"/>
      <c r="O254" s="477"/>
    </row>
    <row r="255" spans="1:15" ht="12.75">
      <c r="A255" s="120" t="str">
        <f t="shared" si="1"/>
        <v>Производство или преработка на черни метали (включително феросплави) в случай на използване на горивни съоръжения с обща номинална входяща топлинна мощност над 20 MW. Преработката включва, наред с други съоръжения, използването на прокатни станове, м</v>
      </c>
      <c r="B255" s="82">
        <v>6</v>
      </c>
      <c r="C255" s="82">
        <f t="shared" si="3"/>
        <v>7</v>
      </c>
      <c r="D255" s="85" t="str">
        <f t="shared" si="0"/>
        <v>06.07</v>
      </c>
      <c r="E255" s="116" t="str">
        <f>Translations!B172</f>
        <v>Леене на чугун</v>
      </c>
      <c r="F255" s="116" t="str">
        <f t="shared" si="2"/>
        <v>тона</v>
      </c>
      <c r="G255" s="116" t="b">
        <v>1</v>
      </c>
      <c r="H255" s="123">
        <v>0.325</v>
      </c>
      <c r="I255" s="116" t="b">
        <v>1</v>
      </c>
      <c r="J255" s="113">
        <f>""</f>
      </c>
      <c r="K255" s="124">
        <f>""</f>
      </c>
      <c r="L255" s="348">
        <v>0.772</v>
      </c>
      <c r="N255" s="477"/>
      <c r="O255" s="477"/>
    </row>
    <row r="256" spans="1:15" ht="12.75">
      <c r="A256" s="120" t="str">
        <f t="shared" si="1"/>
        <v>Производство на първичен алуминий </v>
      </c>
      <c r="B256" s="82">
        <v>7</v>
      </c>
      <c r="C256" s="82">
        <f t="shared" si="3"/>
        <v>8</v>
      </c>
      <c r="D256" s="85" t="str">
        <f t="shared" si="0"/>
        <v>07.08</v>
      </c>
      <c r="E256" s="116" t="str">
        <f>Translations!B173</f>
        <v>Предварително изпечен анод</v>
      </c>
      <c r="F256" s="116" t="str">
        <f t="shared" si="2"/>
        <v>тона</v>
      </c>
      <c r="G256" s="116" t="b">
        <v>1</v>
      </c>
      <c r="H256" s="123">
        <v>0.324</v>
      </c>
      <c r="I256" s="116" t="b">
        <v>0</v>
      </c>
      <c r="J256" s="113">
        <f>""</f>
      </c>
      <c r="K256" s="124">
        <f>""</f>
      </c>
      <c r="L256" s="348">
        <v>0.928</v>
      </c>
      <c r="N256" s="477"/>
      <c r="O256" s="477"/>
    </row>
    <row r="257" spans="1:15" ht="12.75">
      <c r="A257" s="120" t="str">
        <f t="shared" si="1"/>
        <v>Производство на първичен алуминий </v>
      </c>
      <c r="B257" s="82">
        <v>7</v>
      </c>
      <c r="C257" s="82">
        <f t="shared" si="3"/>
        <v>9</v>
      </c>
      <c r="D257" s="85" t="str">
        <f t="shared" si="0"/>
        <v>07.09</v>
      </c>
      <c r="E257" s="116" t="str">
        <f>Translations!B174</f>
        <v>[Първичен] алуминий</v>
      </c>
      <c r="F257" s="116" t="str">
        <f t="shared" si="2"/>
        <v>тона</v>
      </c>
      <c r="G257" s="116" t="b">
        <v>1</v>
      </c>
      <c r="H257" s="123">
        <v>1.514</v>
      </c>
      <c r="I257" s="116" t="b">
        <v>0</v>
      </c>
      <c r="J257" s="113">
        <f>""</f>
      </c>
      <c r="K257" s="124">
        <f>""</f>
      </c>
      <c r="L257" s="348">
        <v>0.964</v>
      </c>
      <c r="N257" s="477"/>
      <c r="O257" s="477"/>
    </row>
    <row r="258" spans="1:15" ht="12.75">
      <c r="A258" s="120" t="str">
        <f t="shared" si="1"/>
        <v>Производство на циментен клинкер в ротационни пещи с производствен капацитет над 500 тона дневно или в други пещи с производствен капацитет над 50 тона дневно </v>
      </c>
      <c r="B258" s="82">
        <v>10</v>
      </c>
      <c r="C258" s="82">
        <f t="shared" si="3"/>
        <v>10</v>
      </c>
      <c r="D258" s="85" t="str">
        <f t="shared" si="0"/>
        <v>10.10</v>
      </c>
      <c r="E258" s="116" t="str">
        <f>Translations!B175</f>
        <v>Клинкер за сив цимент</v>
      </c>
      <c r="F258" s="116" t="str">
        <f t="shared" si="2"/>
        <v>тона</v>
      </c>
      <c r="G258" s="116" t="b">
        <v>1</v>
      </c>
      <c r="H258" s="125">
        <v>0.766</v>
      </c>
      <c r="I258" s="116" t="b">
        <v>0</v>
      </c>
      <c r="J258" s="113">
        <f>""</f>
      </c>
      <c r="K258" s="124">
        <f>""</f>
      </c>
      <c r="L258" s="348">
        <v>0.831</v>
      </c>
      <c r="N258" s="477"/>
      <c r="O258" s="477"/>
    </row>
    <row r="259" spans="1:15" ht="12.75">
      <c r="A259" s="120" t="str">
        <f t="shared" si="1"/>
        <v>Производство на циментен клинкер в ротационни пещи с производствен капацитет над 500 тона дневно или в други пещи с производствен капацитет над 50 тона дневно </v>
      </c>
      <c r="B259" s="82">
        <v>10</v>
      </c>
      <c r="C259" s="82">
        <f t="shared" si="3"/>
        <v>11</v>
      </c>
      <c r="D259" s="85" t="str">
        <f t="shared" si="0"/>
        <v>10.11</v>
      </c>
      <c r="E259" s="116" t="str">
        <f>Translations!B176</f>
        <v>Клинкер за бял цимент</v>
      </c>
      <c r="F259" s="116" t="str">
        <f t="shared" si="2"/>
        <v>тона</v>
      </c>
      <c r="G259" s="116" t="b">
        <v>1</v>
      </c>
      <c r="H259" s="123">
        <v>0.987</v>
      </c>
      <c r="I259" s="116" t="b">
        <v>0</v>
      </c>
      <c r="J259" s="113">
        <f>""</f>
      </c>
      <c r="K259" s="124">
        <f>""</f>
      </c>
      <c r="L259" s="348">
        <v>0.787</v>
      </c>
      <c r="N259" s="477"/>
      <c r="O259" s="477"/>
    </row>
    <row r="260" spans="1:15" ht="12.75">
      <c r="A260" s="120" t="str">
        <f t="shared" si="1"/>
        <v>Производство на вар или калциниране на доломит или магнезит в ротационни или други пещи с производствен капацитет над 50 тона дневно </v>
      </c>
      <c r="B260" s="82">
        <v>11</v>
      </c>
      <c r="C260" s="82">
        <f t="shared" si="3"/>
        <v>12</v>
      </c>
      <c r="D260" s="85" t="str">
        <f t="shared" si="0"/>
        <v>11.12</v>
      </c>
      <c r="E260" s="116" t="str">
        <f>Translations!B177</f>
        <v>Вар</v>
      </c>
      <c r="F260" s="116" t="str">
        <f t="shared" si="2"/>
        <v>тона</v>
      </c>
      <c r="G260" s="116" t="b">
        <v>1</v>
      </c>
      <c r="H260" s="123">
        <v>0.954</v>
      </c>
      <c r="I260" s="116" t="b">
        <v>0</v>
      </c>
      <c r="J260" s="113" t="str">
        <f>Translations!$B$98</f>
        <v>Моля, използвайте модула за вар  в работния лист (sheet) „ SpecialBM“ за изчисляване на историческите равнища на активност.</v>
      </c>
      <c r="K260" s="124" t="str">
        <f>"#JUMP_H_II"</f>
        <v>#JUMP_H_II</v>
      </c>
      <c r="L260" s="348">
        <v>0.813</v>
      </c>
      <c r="N260" s="477"/>
      <c r="O260" s="477"/>
    </row>
    <row r="261" spans="1:15" ht="12.75">
      <c r="A261" s="120" t="str">
        <f t="shared" si="1"/>
        <v>Производство на вар или калциниране на доломит или магнезит в ротационни или други пещи с производствен капацитет над 50 тона дневно </v>
      </c>
      <c r="B261" s="82">
        <v>11</v>
      </c>
      <c r="C261" s="82">
        <f t="shared" si="3"/>
        <v>13</v>
      </c>
      <c r="D261" s="85" t="str">
        <f t="shared" si="0"/>
        <v>11.13</v>
      </c>
      <c r="E261" s="116" t="str">
        <f>Translations!B178</f>
        <v>Доломитна вар</v>
      </c>
      <c r="F261" s="116" t="str">
        <f t="shared" si="2"/>
        <v>тона</v>
      </c>
      <c r="G261" s="116" t="b">
        <v>1</v>
      </c>
      <c r="H261" s="123">
        <v>1.072</v>
      </c>
      <c r="I261" s="116" t="b">
        <v>0</v>
      </c>
      <c r="J261" s="113" t="str">
        <f>Translations!$B$99</f>
        <v>Моля, използвайте модула за  доломитна вар в работния лист (sheet) „ SpecialBM“ за изчисляване на историческите равнища на активност.</v>
      </c>
      <c r="K261" s="124" t="str">
        <f>"#JUMP_H_III"</f>
        <v>#JUMP_H_III</v>
      </c>
      <c r="L261" s="348">
        <v>0.748</v>
      </c>
      <c r="N261" s="477"/>
      <c r="O261" s="477"/>
    </row>
    <row r="262" spans="1:15" ht="12.75">
      <c r="A262" s="120" t="str">
        <f t="shared" si="1"/>
        <v>Производство на вар или калциниране на доломит или магнезит в ротационни или други пещи с производствен капацитет над 50 тона дневно </v>
      </c>
      <c r="B262" s="82">
        <v>11</v>
      </c>
      <c r="C262" s="82">
        <f t="shared" si="3"/>
        <v>14</v>
      </c>
      <c r="D262" s="85" t="str">
        <f t="shared" si="0"/>
        <v>11.14</v>
      </c>
      <c r="E262" s="116" t="str">
        <f>Translations!B179</f>
        <v>Синтерована доломитна вар</v>
      </c>
      <c r="F262" s="116" t="str">
        <f t="shared" si="2"/>
        <v>тона</v>
      </c>
      <c r="G262" s="116" t="b">
        <v>1</v>
      </c>
      <c r="H262" s="123">
        <v>1.449</v>
      </c>
      <c r="I262" s="116" t="b">
        <v>0</v>
      </c>
      <c r="J262" s="126"/>
      <c r="K262" s="124">
        <f>""</f>
      </c>
      <c r="L262" s="348">
        <v>0.784</v>
      </c>
      <c r="N262" s="477"/>
      <c r="O262" s="477"/>
    </row>
    <row r="263" spans="1:15" ht="12.75">
      <c r="A263" s="120" t="str">
        <f t="shared" si="1"/>
        <v>Производство на стъкло, включително стъклени влакна, с капацитет на топене над 20 тона дневно </v>
      </c>
      <c r="B263" s="82">
        <v>12</v>
      </c>
      <c r="C263" s="82">
        <f t="shared" si="3"/>
        <v>15</v>
      </c>
      <c r="D263" s="85" t="str">
        <f t="shared" si="0"/>
        <v>12.15</v>
      </c>
      <c r="E263" s="116" t="str">
        <f>Translations!B180</f>
        <v>Флоатно стъкло</v>
      </c>
      <c r="F263" s="116" t="str">
        <f t="shared" si="2"/>
        <v>тона</v>
      </c>
      <c r="G263" s="116" t="b">
        <v>1</v>
      </c>
      <c r="H263" s="123">
        <v>0.453</v>
      </c>
      <c r="I263" s="116" t="b">
        <v>0</v>
      </c>
      <c r="J263" s="113">
        <f>""</f>
      </c>
      <c r="K263" s="124">
        <f>""</f>
      </c>
      <c r="L263" s="348">
        <v>0.946</v>
      </c>
      <c r="N263" s="477"/>
      <c r="O263" s="477"/>
    </row>
    <row r="264" spans="1:15" ht="12.75">
      <c r="A264" s="120" t="str">
        <f t="shared" si="1"/>
        <v>Производство на стъкло, включително стъклени влакна, с капацитет на топене над 20 тона дневно </v>
      </c>
      <c r="B264" s="82">
        <v>12</v>
      </c>
      <c r="C264" s="82">
        <f t="shared" si="3"/>
        <v>16</v>
      </c>
      <c r="D264" s="85" t="str">
        <f t="shared" si="0"/>
        <v>12.16</v>
      </c>
      <c r="E264" s="116" t="str">
        <f>Translations!B181</f>
        <v>Бутилки и буркани от безцветно стъкло</v>
      </c>
      <c r="F264" s="116" t="str">
        <f t="shared" si="2"/>
        <v>тона</v>
      </c>
      <c r="G264" s="116" t="b">
        <v>1</v>
      </c>
      <c r="H264" s="123">
        <v>0.382</v>
      </c>
      <c r="I264" s="116" t="b">
        <v>0</v>
      </c>
      <c r="J264" s="113">
        <f>""</f>
      </c>
      <c r="K264" s="124">
        <f>""</f>
      </c>
      <c r="L264" s="348">
        <v>0.883</v>
      </c>
      <c r="N264" s="477"/>
      <c r="O264" s="477"/>
    </row>
    <row r="265" spans="1:15" ht="12.75">
      <c r="A265" s="120" t="str">
        <f t="shared" si="1"/>
        <v>Производство на стъкло, включително стъклени влакна, с капацитет на топене над 20 тона дневно </v>
      </c>
      <c r="B265" s="82">
        <v>12</v>
      </c>
      <c r="C265" s="82">
        <f t="shared" si="3"/>
        <v>17</v>
      </c>
      <c r="D265" s="85" t="str">
        <f t="shared" si="0"/>
        <v>12.17</v>
      </c>
      <c r="E265" s="116" t="str">
        <f>Translations!B182</f>
        <v>Бутилки и буркани от цветно стъкло</v>
      </c>
      <c r="F265" s="116" t="str">
        <f t="shared" si="2"/>
        <v>тона</v>
      </c>
      <c r="G265" s="116" t="b">
        <v>1</v>
      </c>
      <c r="H265" s="123">
        <v>0.306</v>
      </c>
      <c r="I265" s="116" t="b">
        <v>0</v>
      </c>
      <c r="J265" s="113">
        <f>""</f>
      </c>
      <c r="K265" s="124">
        <f>""</f>
      </c>
      <c r="L265" s="348">
        <v>0.912</v>
      </c>
      <c r="N265" s="477"/>
      <c r="O265" s="477"/>
    </row>
    <row r="266" spans="1:15" ht="12.75">
      <c r="A266" s="120" t="str">
        <f t="shared" si="1"/>
        <v>Производство на стъкло, включително стъклени влакна, с капацитет на топене над 20 тона дневно </v>
      </c>
      <c r="B266" s="82">
        <v>12</v>
      </c>
      <c r="C266" s="82">
        <f t="shared" si="3"/>
        <v>18</v>
      </c>
      <c r="D266" s="85" t="str">
        <f t="shared" si="0"/>
        <v>12.18</v>
      </c>
      <c r="E266" s="116" t="str">
        <f>Translations!B183</f>
        <v>Продукти от стъклени влакна с непрекъсната нишка</v>
      </c>
      <c r="F266" s="116" t="str">
        <f t="shared" si="2"/>
        <v>тона</v>
      </c>
      <c r="G266" s="116" t="b">
        <v>1</v>
      </c>
      <c r="H266" s="123">
        <v>0.406</v>
      </c>
      <c r="I266" s="116" t="b">
        <v>0</v>
      </c>
      <c r="J266" s="113">
        <f>""</f>
      </c>
      <c r="K266" s="124">
        <f>""</f>
      </c>
      <c r="L266" s="348">
        <v>0.892</v>
      </c>
      <c r="N266" s="477"/>
      <c r="O266" s="477"/>
    </row>
    <row r="267" spans="1:15" ht="12.75">
      <c r="A267" s="120" t="str">
        <f t="shared" si="1"/>
        <v>Изработване на керамични продукти чрез изпичане, по-конкретно покривни керемиди, тухли, огнеупорни тухли, плочи, каменинови или порцеланови изделия, с производствен капацитет над 75 тона дневно </v>
      </c>
      <c r="B267" s="82">
        <v>13</v>
      </c>
      <c r="C267" s="82">
        <f t="shared" si="3"/>
        <v>19</v>
      </c>
      <c r="D267" s="85" t="str">
        <f t="shared" si="0"/>
        <v>13.19</v>
      </c>
      <c r="E267" s="116" t="str">
        <f>Translations!B184</f>
        <v>Oблицовъчни тухли</v>
      </c>
      <c r="F267" s="116" t="str">
        <f t="shared" si="2"/>
        <v>тона</v>
      </c>
      <c r="G267" s="279" t="b">
        <v>1</v>
      </c>
      <c r="H267" s="123">
        <v>0.139</v>
      </c>
      <c r="I267" s="116" t="b">
        <v>0</v>
      </c>
      <c r="J267" s="113">
        <f>""</f>
      </c>
      <c r="K267" s="124">
        <f>""</f>
      </c>
      <c r="L267" s="348">
        <v>0.809</v>
      </c>
      <c r="N267" s="477"/>
      <c r="O267" s="477"/>
    </row>
    <row r="268" spans="1:15" ht="12.75">
      <c r="A268" s="120" t="str">
        <f t="shared" si="1"/>
        <v>Изработване на керамични продукти чрез изпичане, по-конкретно покривни керемиди, тухли, огнеупорни тухли, плочи, каменинови или порцеланови изделия, с производствен капацитет над 75 тона дневно </v>
      </c>
      <c r="B268" s="82">
        <v>13</v>
      </c>
      <c r="C268" s="82">
        <f t="shared" si="3"/>
        <v>20</v>
      </c>
      <c r="D268" s="85" t="str">
        <f t="shared" si="0"/>
        <v>13.20</v>
      </c>
      <c r="E268" s="116" t="str">
        <f>Translations!B185</f>
        <v>Настилъчни тухли</v>
      </c>
      <c r="F268" s="116" t="str">
        <f t="shared" si="2"/>
        <v>тона</v>
      </c>
      <c r="G268" s="279" t="b">
        <v>1</v>
      </c>
      <c r="H268" s="123">
        <v>0.192</v>
      </c>
      <c r="I268" s="116" t="b">
        <v>0</v>
      </c>
      <c r="J268" s="113">
        <f>""</f>
      </c>
      <c r="K268" s="124">
        <f>""</f>
      </c>
      <c r="L268" s="348">
        <v>0.731</v>
      </c>
      <c r="N268" s="477"/>
      <c r="O268" s="477"/>
    </row>
    <row r="269" spans="1:15" ht="12.75">
      <c r="A269" s="120" t="str">
        <f t="shared" si="1"/>
        <v>Изработване на керамични продукти чрез изпичане, по-конкретно покривни керемиди, тухли, огнеупорни тухли, плочи, каменинови или порцеланови изделия, с производствен капацитет над 75 тона дневно </v>
      </c>
      <c r="B269" s="82">
        <v>13</v>
      </c>
      <c r="C269" s="82">
        <f t="shared" si="3"/>
        <v>21</v>
      </c>
      <c r="D269" s="85" t="str">
        <f t="shared" si="0"/>
        <v>13.21</v>
      </c>
      <c r="E269" s="116" t="str">
        <f>Translations!B186</f>
        <v>Керемиди</v>
      </c>
      <c r="F269" s="116" t="str">
        <f t="shared" si="2"/>
        <v>тона</v>
      </c>
      <c r="G269" s="279" t="b">
        <v>1</v>
      </c>
      <c r="H269" s="123">
        <v>0.144</v>
      </c>
      <c r="I269" s="116" t="b">
        <v>0</v>
      </c>
      <c r="J269" s="113">
        <f>""</f>
      </c>
      <c r="K269" s="124">
        <f>""</f>
      </c>
      <c r="L269" s="348">
        <v>0.836</v>
      </c>
      <c r="N269" s="477"/>
      <c r="O269" s="477"/>
    </row>
    <row r="270" spans="1:15" ht="12.75">
      <c r="A270" s="120" t="str">
        <f t="shared" si="1"/>
        <v>Изработване на керамични продукти чрез изпичане, по-конкретно покривни керемиди, тухли, огнеупорни тухли, плочи, каменинови или порцеланови изделия, с производствен капацитет над 75 тона дневно </v>
      </c>
      <c r="B270" s="82">
        <v>13</v>
      </c>
      <c r="C270" s="82">
        <f t="shared" si="3"/>
        <v>22</v>
      </c>
      <c r="D270" s="85" t="str">
        <f t="shared" si="0"/>
        <v>13.22</v>
      </c>
      <c r="E270" s="116" t="str">
        <f>Translations!B187</f>
        <v>Изсушени чрез пулверизация прахообразни материали</v>
      </c>
      <c r="F270" s="116" t="str">
        <f t="shared" si="2"/>
        <v>тона</v>
      </c>
      <c r="G270" s="116" t="b">
        <v>1</v>
      </c>
      <c r="H270" s="123">
        <v>0.076</v>
      </c>
      <c r="I270" s="116" t="b">
        <v>0</v>
      </c>
      <c r="J270" s="113">
        <f>""</f>
      </c>
      <c r="K270" s="124">
        <f>""</f>
      </c>
      <c r="L270" s="348">
        <v>0.802</v>
      </c>
      <c r="N270" s="477"/>
      <c r="O270" s="477"/>
    </row>
    <row r="271" spans="1:15" ht="12.75">
      <c r="A271" s="120" t="str">
        <f t="shared" si="1"/>
        <v>Производство на изолационни материали от минерална или стъклена вата с използване на стъкло, камък или шлака, с капацитет на топене над 20 тона дневно </v>
      </c>
      <c r="B271" s="82">
        <v>14</v>
      </c>
      <c r="C271" s="82">
        <f t="shared" si="3"/>
        <v>23</v>
      </c>
      <c r="D271" s="85" t="str">
        <f t="shared" si="0"/>
        <v>14.23</v>
      </c>
      <c r="E271" s="116" t="str">
        <f>Translations!B188</f>
        <v>Минерална/стъклена вата</v>
      </c>
      <c r="F271" s="116" t="str">
        <f t="shared" si="2"/>
        <v>тона</v>
      </c>
      <c r="G271" s="279" t="b">
        <v>1</v>
      </c>
      <c r="H271" s="123">
        <v>0.682</v>
      </c>
      <c r="I271" s="116" t="b">
        <v>1</v>
      </c>
      <c r="J271" s="113">
        <f>""</f>
      </c>
      <c r="K271" s="124">
        <f>""</f>
      </c>
      <c r="L271" s="348">
        <v>0.851</v>
      </c>
      <c r="N271" s="477"/>
      <c r="O271" s="477"/>
    </row>
    <row r="272" spans="1:15" ht="12.75">
      <c r="A272" s="120" t="str">
        <f t="shared" si="1"/>
        <v>Сушене или калциниране на гипс или производство на гипсови плоскости и други продукти от гипс, в случай на използване на горивни съоръжения с обща номинална входяща топлинна мощност над 20 MW </v>
      </c>
      <c r="B272" s="82">
        <v>15</v>
      </c>
      <c r="C272" s="82">
        <f t="shared" si="3"/>
        <v>24</v>
      </c>
      <c r="D272" s="85" t="str">
        <f t="shared" si="0"/>
        <v>15.24</v>
      </c>
      <c r="E272" s="116" t="str">
        <f>Translations!B189</f>
        <v>Гипсови материали</v>
      </c>
      <c r="F272" s="116" t="str">
        <f t="shared" si="2"/>
        <v>тона</v>
      </c>
      <c r="G272" s="116" t="b">
        <v>0</v>
      </c>
      <c r="H272" s="123">
        <v>0.048</v>
      </c>
      <c r="I272" s="116" t="b">
        <v>0</v>
      </c>
      <c r="J272" s="113">
        <f>""</f>
      </c>
      <c r="K272" s="124">
        <f>""</f>
      </c>
      <c r="L272" s="348">
        <v>0.801</v>
      </c>
      <c r="N272" s="477"/>
      <c r="O272" s="477"/>
    </row>
    <row r="273" spans="1:15" ht="12.75">
      <c r="A273" s="120" t="str">
        <f t="shared" si="1"/>
        <v>Сушене или калциниране на гипс или производство на гипсови плоскости и други продукти от гипс, в случай на използване на горивни съоръжения с обща номинална входяща топлинна мощност над 20 MW </v>
      </c>
      <c r="B273" s="82">
        <v>15</v>
      </c>
      <c r="C273" s="82">
        <f t="shared" si="3"/>
        <v>25</v>
      </c>
      <c r="D273" s="85" t="str">
        <f t="shared" si="0"/>
        <v>15.25</v>
      </c>
      <c r="E273" s="116" t="str">
        <f>Translations!B190</f>
        <v>Изсушен вторичен гипс</v>
      </c>
      <c r="F273" s="116" t="str">
        <f t="shared" si="2"/>
        <v>тона</v>
      </c>
      <c r="G273" s="116" t="b">
        <v>0</v>
      </c>
      <c r="H273" s="123">
        <v>0.017</v>
      </c>
      <c r="I273" s="116" t="b">
        <v>0</v>
      </c>
      <c r="J273" s="113">
        <f>""</f>
      </c>
      <c r="K273" s="124">
        <f>""</f>
      </c>
      <c r="L273" s="348">
        <v>0.812</v>
      </c>
      <c r="N273" s="477"/>
      <c r="O273" s="477"/>
    </row>
    <row r="274" spans="1:15" ht="12.75">
      <c r="A274" s="120" t="str">
        <f t="shared" si="1"/>
        <v>Сушене или калциниране на гипс или производство на гипсови плоскости и други продукти от гипс, в случай на използване на горивни съоръжения с обща номинална входяща топлинна мощност над 20 MW </v>
      </c>
      <c r="B274" s="82">
        <v>15</v>
      </c>
      <c r="C274" s="82">
        <f t="shared" si="3"/>
        <v>26</v>
      </c>
      <c r="D274" s="85" t="str">
        <f t="shared" si="0"/>
        <v>15.26</v>
      </c>
      <c r="E274" s="116" t="str">
        <f>Translations!B191</f>
        <v>Гипсови плоскости (гипсокартон)</v>
      </c>
      <c r="F274" s="116" t="str">
        <f t="shared" si="2"/>
        <v>тона</v>
      </c>
      <c r="G274" s="116" t="b">
        <v>0</v>
      </c>
      <c r="H274" s="123">
        <v>0.131</v>
      </c>
      <c r="I274" s="116" t="b">
        <v>1</v>
      </c>
      <c r="J274" s="113">
        <f>""</f>
      </c>
      <c r="K274" s="124">
        <f>""</f>
      </c>
      <c r="L274" s="348">
        <v>0.843</v>
      </c>
      <c r="N274" s="477"/>
      <c r="O274" s="477"/>
    </row>
    <row r="275" spans="1:15" ht="12.75">
      <c r="A275" s="120" t="str">
        <f t="shared" si="1"/>
        <v>Производство на целулоза от дървесина или от други влакнести материали </v>
      </c>
      <c r="B275" s="82">
        <v>16</v>
      </c>
      <c r="C275" s="82">
        <f t="shared" si="3"/>
        <v>27</v>
      </c>
      <c r="D275" s="85" t="str">
        <f t="shared" si="0"/>
        <v>16.27</v>
      </c>
      <c r="E275" s="116" t="str">
        <f>Translations!B192</f>
        <v>Късовлакнеста сулфатна целулоза</v>
      </c>
      <c r="F275" s="116" t="s">
        <v>307</v>
      </c>
      <c r="G275" s="116" t="b">
        <v>1</v>
      </c>
      <c r="H275" s="123">
        <v>0.12</v>
      </c>
      <c r="I275" s="116" t="b">
        <v>0</v>
      </c>
      <c r="J275" s="126" t="str">
        <f>Translations!$B$100</f>
        <v>Имайте предвид, че при съвместно производство на целулоза и хартия са в сила специални за този случай правила (член 10, параграф 7 от Решението относно изпълнителните мерки — ОИМ).</v>
      </c>
      <c r="K275" s="124">
        <f>""</f>
      </c>
      <c r="L275" s="348">
        <v>0.808</v>
      </c>
      <c r="N275" s="477"/>
      <c r="O275" s="477"/>
    </row>
    <row r="276" spans="1:15" ht="12.75">
      <c r="A276" s="120" t="str">
        <f t="shared" si="1"/>
        <v>Производство на целулоза от дървесина или от други влакнести материали </v>
      </c>
      <c r="B276" s="82">
        <v>16</v>
      </c>
      <c r="C276" s="82">
        <f t="shared" si="3"/>
        <v>28</v>
      </c>
      <c r="D276" s="85" t="str">
        <f t="shared" si="0"/>
        <v>16.28</v>
      </c>
      <c r="E276" s="116" t="str">
        <f>Translations!B193</f>
        <v>Дълговлакнеста сулфатна целулоза</v>
      </c>
      <c r="F276" s="116" t="s">
        <v>307</v>
      </c>
      <c r="G276" s="116" t="b">
        <v>1</v>
      </c>
      <c r="H276" s="123">
        <v>0.06</v>
      </c>
      <c r="I276" s="116" t="b">
        <v>0</v>
      </c>
      <c r="J276" s="126" t="str">
        <f>Translations!$B$100</f>
        <v>Имайте предвид, че при съвместно производство на целулоза и хартия са в сила специални за този случай правила (член 10, параграф 7 от Решението относно изпълнителните мерки — ОИМ).</v>
      </c>
      <c r="K276" s="124">
        <f>""</f>
      </c>
      <c r="L276" s="348">
        <v>0.823</v>
      </c>
      <c r="N276" s="477"/>
      <c r="O276" s="477"/>
    </row>
    <row r="277" spans="1:15" ht="12.75">
      <c r="A277" s="120" t="str">
        <f t="shared" si="1"/>
        <v>Производство на целулоза от дървесина или от други влакнести материали </v>
      </c>
      <c r="B277" s="82">
        <v>16</v>
      </c>
      <c r="C277" s="82">
        <f t="shared" si="3"/>
        <v>29</v>
      </c>
      <c r="D277" s="85" t="str">
        <f t="shared" si="0"/>
        <v>16.29</v>
      </c>
      <c r="E277" s="116" t="str">
        <f>Translations!B194</f>
        <v>Сулфитна целулоза, термо-механична и механична целулоза</v>
      </c>
      <c r="F277" s="116" t="s">
        <v>307</v>
      </c>
      <c r="G277" s="116" t="b">
        <v>1</v>
      </c>
      <c r="H277" s="123">
        <v>0.02</v>
      </c>
      <c r="I277" s="116" t="b">
        <v>0</v>
      </c>
      <c r="J277" s="126" t="str">
        <f>Translations!$B$100</f>
        <v>Имайте предвид, че при съвместно производство на целулоза и хартия са в сила специални за този случай правила (член 10, параграф 7 от Решението относно изпълнителните мерки — ОИМ).</v>
      </c>
      <c r="K277" s="124">
        <f>""</f>
      </c>
      <c r="L277" s="348">
        <v>0.862</v>
      </c>
      <c r="N277" s="477"/>
      <c r="O277" s="477"/>
    </row>
    <row r="278" spans="1:15" ht="12.75">
      <c r="A278" s="120" t="str">
        <f t="shared" si="1"/>
        <v>Производство на целулоза от дървесина или от други влакнести материали </v>
      </c>
      <c r="B278" s="82">
        <v>16</v>
      </c>
      <c r="C278" s="82">
        <f t="shared" si="3"/>
        <v>30</v>
      </c>
      <c r="D278" s="85" t="str">
        <f t="shared" si="0"/>
        <v>16.30</v>
      </c>
      <c r="E278" s="116" t="str">
        <f>Translations!B195</f>
        <v>Показател за целулоза от вторично използвана хартия (recovered paper pulp)</v>
      </c>
      <c r="F278" s="116" t="s">
        <v>307</v>
      </c>
      <c r="G278" s="116" t="b">
        <v>1</v>
      </c>
      <c r="H278" s="123">
        <v>0.039</v>
      </c>
      <c r="I278" s="116" t="b">
        <v>0</v>
      </c>
      <c r="J278" s="113">
        <f>""</f>
      </c>
      <c r="K278" s="124">
        <f>""</f>
      </c>
      <c r="L278" s="348">
        <v>0.887</v>
      </c>
      <c r="N278" s="477"/>
      <c r="O278" s="477"/>
    </row>
    <row r="279" spans="1:15" ht="12.75">
      <c r="A279" s="120" t="str">
        <f t="shared" si="1"/>
        <v>Производство на хартия или картон с производствен капацитет над 20 тона дневно </v>
      </c>
      <c r="B279" s="82">
        <v>17</v>
      </c>
      <c r="C279" s="82">
        <f t="shared" si="3"/>
        <v>31</v>
      </c>
      <c r="D279" s="85" t="str">
        <f t="shared" si="0"/>
        <v>17.31</v>
      </c>
      <c r="E279" s="116" t="str">
        <f>Translations!B196</f>
        <v>Вестникарска хартия</v>
      </c>
      <c r="F279" s="116" t="s">
        <v>307</v>
      </c>
      <c r="G279" s="116" t="b">
        <v>1</v>
      </c>
      <c r="H279" s="123">
        <v>0.298</v>
      </c>
      <c r="I279" s="116" t="b">
        <v>0</v>
      </c>
      <c r="J279" s="113">
        <f>""</f>
      </c>
      <c r="K279" s="124">
        <f>""</f>
      </c>
      <c r="L279" s="348">
        <v>0.919</v>
      </c>
      <c r="N279" s="477"/>
      <c r="O279" s="477"/>
    </row>
    <row r="280" spans="1:15" ht="12.75">
      <c r="A280" s="120" t="str">
        <f t="shared" si="1"/>
        <v>Производство на хартия или картон с производствен капацитет над 20 тона дневно </v>
      </c>
      <c r="B280" s="82">
        <v>17</v>
      </c>
      <c r="C280" s="82">
        <f t="shared" si="3"/>
        <v>32</v>
      </c>
      <c r="D280" s="85" t="str">
        <f t="shared" si="0"/>
        <v>17.32</v>
      </c>
      <c r="E280" s="116" t="str">
        <f>Translations!B197</f>
        <v>Непокрита висококачествена хартия (uncoated fine paper)</v>
      </c>
      <c r="F280" s="116" t="s">
        <v>307</v>
      </c>
      <c r="G280" s="116" t="b">
        <v>1</v>
      </c>
      <c r="H280" s="123">
        <v>0.318</v>
      </c>
      <c r="I280" s="116" t="b">
        <v>0</v>
      </c>
      <c r="J280" s="113">
        <f>""</f>
      </c>
      <c r="K280" s="124">
        <f>""</f>
      </c>
      <c r="L280" s="348">
        <v>0.872</v>
      </c>
      <c r="N280" s="477"/>
      <c r="O280" s="477"/>
    </row>
    <row r="281" spans="1:15" ht="12.75">
      <c r="A281" s="120" t="str">
        <f t="shared" si="1"/>
        <v>Производство на хартия или картон с производствен капацитет над 20 тона дневно </v>
      </c>
      <c r="B281" s="82">
        <v>17</v>
      </c>
      <c r="C281" s="82">
        <f t="shared" si="3"/>
        <v>33</v>
      </c>
      <c r="D281" s="85" t="str">
        <f aca="true" t="shared" si="4" ref="D281:D300">CONCATENATE(TEXT(B281,"00"),".",TEXT(C281,"00"))</f>
        <v>17.33</v>
      </c>
      <c r="E281" s="116" t="str">
        <f>Translations!B198</f>
        <v>Висококачествена покрита хартия (coated fine paper)</v>
      </c>
      <c r="F281" s="116" t="s">
        <v>307</v>
      </c>
      <c r="G281" s="116" t="b">
        <v>1</v>
      </c>
      <c r="H281" s="123">
        <v>0.318</v>
      </c>
      <c r="I281" s="116" t="b">
        <v>0</v>
      </c>
      <c r="J281" s="113">
        <f>""</f>
      </c>
      <c r="K281" s="124">
        <f>""</f>
      </c>
      <c r="L281" s="348">
        <v>0.883</v>
      </c>
      <c r="N281" s="477"/>
      <c r="O281" s="477"/>
    </row>
    <row r="282" spans="1:15" ht="12.75">
      <c r="A282" s="120" t="str">
        <f t="shared" si="1"/>
        <v>Производство на хартия или картон с производствен капацитет над 20 тона дневно </v>
      </c>
      <c r="B282" s="82">
        <v>17</v>
      </c>
      <c r="C282" s="82">
        <f t="shared" si="3"/>
        <v>34</v>
      </c>
      <c r="D282" s="85" t="str">
        <f t="shared" si="4"/>
        <v>17.34</v>
      </c>
      <c r="E282" s="116" t="str">
        <f>Translations!B199</f>
        <v>Хартия тип тишу</v>
      </c>
      <c r="F282" s="116" t="str">
        <f>EUconst_Tons</f>
        <v>тона</v>
      </c>
      <c r="G282" s="116" t="b">
        <v>1</v>
      </c>
      <c r="H282" s="123">
        <v>0.334</v>
      </c>
      <c r="I282" s="116" t="b">
        <v>0</v>
      </c>
      <c r="J282" s="113">
        <f>""</f>
      </c>
      <c r="K282" s="124">
        <f>""</f>
      </c>
      <c r="L282" s="348">
        <v>0.9</v>
      </c>
      <c r="N282" s="477"/>
      <c r="O282" s="477"/>
    </row>
    <row r="283" spans="1:15" ht="12.75">
      <c r="A283" s="120" t="str">
        <f t="shared" si="1"/>
        <v>Производство на хартия или картон с производствен капацитет над 20 тона дневно </v>
      </c>
      <c r="B283" s="82">
        <v>17</v>
      </c>
      <c r="C283" s="82">
        <f t="shared" si="3"/>
        <v>35</v>
      </c>
      <c r="D283" s="85" t="str">
        <f t="shared" si="4"/>
        <v>17.35</v>
      </c>
      <c r="E283" s="116" t="str">
        <f>Translations!B200</f>
        <v>Хартия за външни гладки пластове на велпапе (testliner) и хартия за навълняване (fluting)</v>
      </c>
      <c r="F283" s="116" t="s">
        <v>307</v>
      </c>
      <c r="G283" s="116" t="b">
        <v>1</v>
      </c>
      <c r="H283" s="123">
        <v>0.248</v>
      </c>
      <c r="I283" s="116" t="b">
        <v>0</v>
      </c>
      <c r="J283" s="113">
        <f>""</f>
      </c>
      <c r="K283" s="124">
        <f>""</f>
      </c>
      <c r="L283" s="348">
        <v>0.889</v>
      </c>
      <c r="N283" s="477"/>
      <c r="O283" s="477"/>
    </row>
    <row r="284" spans="1:15" ht="12.75">
      <c r="A284" s="120" t="str">
        <f>VLOOKUP(B284,$A$216:$B$243,2,0)</f>
        <v>Производство на хартия или картон с производствен капацитет над 20 тона дневно </v>
      </c>
      <c r="B284" s="82">
        <v>17</v>
      </c>
      <c r="C284" s="82">
        <f t="shared" si="3"/>
        <v>36</v>
      </c>
      <c r="D284" s="85" t="str">
        <f t="shared" si="4"/>
        <v>17.36</v>
      </c>
      <c r="E284" s="116" t="str">
        <f>Translations!B201</f>
        <v>Непокрит картон</v>
      </c>
      <c r="F284" s="116" t="s">
        <v>307</v>
      </c>
      <c r="G284" s="116" t="b">
        <v>1</v>
      </c>
      <c r="H284" s="123">
        <v>0.237</v>
      </c>
      <c r="I284" s="116" t="b">
        <v>0</v>
      </c>
      <c r="J284" s="113">
        <f>""</f>
      </c>
      <c r="K284" s="124">
        <f>""</f>
      </c>
      <c r="L284" s="348">
        <v>0.863</v>
      </c>
      <c r="N284" s="477"/>
      <c r="O284" s="477"/>
    </row>
    <row r="285" spans="1:15" ht="12.75">
      <c r="A285" s="120" t="str">
        <f t="shared" si="1"/>
        <v>Производство на хартия или картон с производствен капацитет над 20 тона дневно </v>
      </c>
      <c r="B285" s="82">
        <v>17</v>
      </c>
      <c r="C285" s="82">
        <f t="shared" si="3"/>
        <v>37</v>
      </c>
      <c r="D285" s="85" t="str">
        <f t="shared" si="4"/>
        <v>17.37</v>
      </c>
      <c r="E285" s="116" t="str">
        <f>Translations!B202</f>
        <v>Покрит картон</v>
      </c>
      <c r="F285" s="116" t="s">
        <v>307</v>
      </c>
      <c r="G285" s="116" t="b">
        <v>1</v>
      </c>
      <c r="H285" s="123">
        <v>0.273</v>
      </c>
      <c r="I285" s="116" t="b">
        <v>0</v>
      </c>
      <c r="J285" s="113">
        <f>""</f>
      </c>
      <c r="K285" s="124">
        <f>""</f>
      </c>
      <c r="L285" s="348">
        <v>0.868</v>
      </c>
      <c r="N285" s="477"/>
      <c r="O285" s="477"/>
    </row>
    <row r="286" spans="1:15" ht="12.75">
      <c r="A286" s="120" t="str">
        <f t="shared" si="1"/>
        <v>Производство на технически въглен с карбонизиране на органични вещества. като масла, катрани, остатъци от крекинг и дестилация, в случай на използване на съоръжения с обща номинална входяща топлинна мощност над 20 MW </v>
      </c>
      <c r="B286" s="82">
        <v>18</v>
      </c>
      <c r="C286" s="82">
        <f t="shared" si="3"/>
        <v>38</v>
      </c>
      <c r="D286" s="85" t="str">
        <f t="shared" si="4"/>
        <v>18.38</v>
      </c>
      <c r="E286" s="116" t="str">
        <f>Translations!B203</f>
        <v>Технически въглерод (carbon black)</v>
      </c>
      <c r="F286" s="116" t="str">
        <f>EUconst_Tons</f>
        <v>тона</v>
      </c>
      <c r="G286" s="116" t="b">
        <v>1</v>
      </c>
      <c r="H286" s="125">
        <v>1.954</v>
      </c>
      <c r="I286" s="116" t="b">
        <v>1</v>
      </c>
      <c r="J286" s="113">
        <f>""</f>
      </c>
      <c r="K286" s="124">
        <f>""</f>
      </c>
      <c r="L286" s="348">
        <v>0.865</v>
      </c>
      <c r="N286" s="477"/>
      <c r="O286" s="477"/>
    </row>
    <row r="287" spans="1:15" ht="12.75">
      <c r="A287" s="120" t="str">
        <f t="shared" si="1"/>
        <v>Производство на азотна киселина </v>
      </c>
      <c r="B287" s="82">
        <v>19</v>
      </c>
      <c r="C287" s="82">
        <f t="shared" si="3"/>
        <v>39</v>
      </c>
      <c r="D287" s="85" t="str">
        <f t="shared" si="4"/>
        <v>19.39</v>
      </c>
      <c r="E287" s="116" t="str">
        <f>Translations!B204</f>
        <v>Азотна киселина</v>
      </c>
      <c r="F287" s="116" t="str">
        <f>EUconst_Tons</f>
        <v>тона</v>
      </c>
      <c r="G287" s="116" t="b">
        <v>1</v>
      </c>
      <c r="H287" s="125">
        <v>0.302</v>
      </c>
      <c r="I287" s="116" t="b">
        <v>0</v>
      </c>
      <c r="J287" s="126" t="str">
        <f>Translations!$B$101</f>
        <v>Измеримата топлинна енергия, подавана на други инсталации следва да се третира като топлинна енергия от източници извън обхвата на Европейската схема за търговия с емисии (ЕСТЕ).</v>
      </c>
      <c r="K287" s="124">
        <f>""</f>
      </c>
      <c r="L287" s="348">
        <v>0.876</v>
      </c>
      <c r="N287" s="477"/>
      <c r="O287" s="477"/>
    </row>
    <row r="288" spans="1:15" ht="12.75">
      <c r="A288" s="120" t="str">
        <f t="shared" si="1"/>
        <v>Производство на адипинова киселина </v>
      </c>
      <c r="B288" s="82">
        <v>20</v>
      </c>
      <c r="C288" s="82">
        <f t="shared" si="3"/>
        <v>40</v>
      </c>
      <c r="D288" s="85" t="str">
        <f t="shared" si="4"/>
        <v>20.40</v>
      </c>
      <c r="E288" s="116" t="str">
        <f>Translations!B205</f>
        <v>Адипинова киселина</v>
      </c>
      <c r="F288" s="116" t="str">
        <f>EUconst_Tons</f>
        <v>тона</v>
      </c>
      <c r="G288" s="116" t="b">
        <v>1</v>
      </c>
      <c r="H288" s="123">
        <v>2.79</v>
      </c>
      <c r="I288" s="116" t="b">
        <v>0</v>
      </c>
      <c r="J288" s="113">
        <f>""</f>
      </c>
      <c r="K288" s="124">
        <f>""</f>
      </c>
      <c r="L288" s="348">
        <v>0.849</v>
      </c>
      <c r="N288" s="477"/>
      <c r="O288" s="477"/>
    </row>
    <row r="289" spans="1:15" ht="12.75">
      <c r="A289" s="120" t="str">
        <f t="shared" si="1"/>
        <v>Производство на амоняк </v>
      </c>
      <c r="B289" s="82">
        <v>22</v>
      </c>
      <c r="C289" s="82">
        <f t="shared" si="3"/>
        <v>41</v>
      </c>
      <c r="D289" s="85" t="str">
        <f t="shared" si="4"/>
        <v>22.41</v>
      </c>
      <c r="E289" s="116" t="str">
        <f>Translations!B206</f>
        <v>Амоняк</v>
      </c>
      <c r="F289" s="116" t="str">
        <f>EUconst_Tons</f>
        <v>тона</v>
      </c>
      <c r="G289" s="116" t="b">
        <v>1</v>
      </c>
      <c r="H289" s="125">
        <v>1.619</v>
      </c>
      <c r="I289" s="116" t="b">
        <v>1</v>
      </c>
      <c r="J289" s="113">
        <f>""</f>
      </c>
      <c r="K289" s="124">
        <f>""</f>
      </c>
      <c r="L289" s="348">
        <v>0.888</v>
      </c>
      <c r="N289" s="477"/>
      <c r="O289" s="477"/>
    </row>
    <row r="290" spans="1:15" ht="12.75">
      <c r="A290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0" s="82">
        <v>23</v>
      </c>
      <c r="C290" s="82">
        <f t="shared" si="3"/>
        <v>42</v>
      </c>
      <c r="D290" s="85" t="str">
        <f t="shared" si="4"/>
        <v>23.42</v>
      </c>
      <c r="E290" s="116" t="str">
        <f>Translations!B207</f>
        <v>Крекинг с водна пара</v>
      </c>
      <c r="F290" s="116" t="str">
        <f>EUconst_Tons</f>
        <v>тона</v>
      </c>
      <c r="G290" s="116" t="b">
        <v>1</v>
      </c>
      <c r="H290" s="123">
        <v>0.702</v>
      </c>
      <c r="I290" s="116" t="b">
        <v>1</v>
      </c>
      <c r="J290" s="113" t="str">
        <f>Translations!B102</f>
        <v>Моля, използвайте модула за крекинг с водна пара в работния лист (sheet) „ SpecialBM“ за изчисляване на историческите равнища и на предварителното разпределение на квоти.</v>
      </c>
      <c r="K290" s="124" t="str">
        <f>"#JUMP_H_IV"</f>
        <v>#JUMP_H_IV</v>
      </c>
      <c r="L290" s="348">
        <v>0.872</v>
      </c>
      <c r="N290" s="477"/>
      <c r="O290" s="477"/>
    </row>
    <row r="291" spans="1:15" ht="12.75">
      <c r="A291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1" s="82">
        <v>23</v>
      </c>
      <c r="C291" s="82">
        <f t="shared" si="3"/>
        <v>43</v>
      </c>
      <c r="D291" s="85" t="str">
        <f t="shared" si="4"/>
        <v>23.43</v>
      </c>
      <c r="E291" s="116" t="str">
        <f>Translations!B208</f>
        <v>Ароматни съединения</v>
      </c>
      <c r="F291" s="116" t="s">
        <v>527</v>
      </c>
      <c r="G291" s="116" t="b">
        <v>1</v>
      </c>
      <c r="H291" s="123">
        <v>0.0295</v>
      </c>
      <c r="I291" s="116" t="b">
        <v>1</v>
      </c>
      <c r="J291" s="113" t="str">
        <f>Translations!B103</f>
        <v>Моля, използвайте модула на приведените на база СО2 тонове (CWT) в работния лист (sheet) „ SpecialBM“ за изчисляване на историческите равнища на активност.</v>
      </c>
      <c r="K291" s="124" t="str">
        <f>"#JUMP_H_V"</f>
        <v>#JUMP_H_V</v>
      </c>
      <c r="L291" s="348">
        <v>0.902</v>
      </c>
      <c r="N291" s="477"/>
      <c r="O291" s="477"/>
    </row>
    <row r="292" spans="1:15" ht="12.75">
      <c r="A292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2" s="82">
        <v>23</v>
      </c>
      <c r="C292" s="82">
        <f t="shared" si="3"/>
        <v>44</v>
      </c>
      <c r="D292" s="85" t="str">
        <f t="shared" si="4"/>
        <v>23.44</v>
      </c>
      <c r="E292" s="116" t="str">
        <f>Translations!B209</f>
        <v>Стирен</v>
      </c>
      <c r="F292" s="116" t="str">
        <f aca="true" t="shared" si="5" ref="F292:F300">EUconst_Tons</f>
        <v>тона</v>
      </c>
      <c r="G292" s="116" t="b">
        <v>1</v>
      </c>
      <c r="H292" s="123">
        <v>0.527</v>
      </c>
      <c r="I292" s="116" t="b">
        <v>1</v>
      </c>
      <c r="J292" s="113">
        <f>""</f>
      </c>
      <c r="K292" s="124">
        <f>""</f>
      </c>
      <c r="L292" s="348">
        <v>0.879</v>
      </c>
      <c r="N292" s="477"/>
      <c r="O292" s="477"/>
    </row>
    <row r="293" spans="1:15" ht="12.75">
      <c r="A293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3" s="82">
        <v>23</v>
      </c>
      <c r="C293" s="82">
        <f t="shared" si="3"/>
        <v>45</v>
      </c>
      <c r="D293" s="85" t="str">
        <f t="shared" si="4"/>
        <v>23.45</v>
      </c>
      <c r="E293" s="116" t="str">
        <f>Translations!B210</f>
        <v>Фенол/ацетон</v>
      </c>
      <c r="F293" s="116" t="str">
        <f t="shared" si="5"/>
        <v>тона</v>
      </c>
      <c r="G293" s="116" t="b">
        <v>1</v>
      </c>
      <c r="H293" s="123">
        <v>0.266</v>
      </c>
      <c r="I293" s="116" t="b">
        <v>0</v>
      </c>
      <c r="J293" s="113">
        <f>""</f>
      </c>
      <c r="K293" s="124">
        <f>""</f>
      </c>
      <c r="L293" s="348">
        <v>0.87</v>
      </c>
      <c r="N293" s="477"/>
      <c r="O293" s="477"/>
    </row>
    <row r="294" spans="1:15" ht="12.75">
      <c r="A294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4" s="82">
        <v>23</v>
      </c>
      <c r="C294" s="82">
        <f t="shared" si="3"/>
        <v>46</v>
      </c>
      <c r="D294" s="85" t="str">
        <f t="shared" si="4"/>
        <v>23.46</v>
      </c>
      <c r="E294" s="116" t="str">
        <f>Translations!B211</f>
        <v>Етиленов оксид/ етиленгликоли</v>
      </c>
      <c r="F294" s="116" t="str">
        <f t="shared" si="5"/>
        <v>тона</v>
      </c>
      <c r="G294" s="116" t="b">
        <v>1</v>
      </c>
      <c r="H294" s="123">
        <v>0.512</v>
      </c>
      <c r="I294" s="116" t="b">
        <v>1</v>
      </c>
      <c r="J294" s="113" t="str">
        <f>Translations!B104</f>
        <v>Моля, използвайте модула за  етиленов оксид/етиленгликоли в работния лист (sheet) „ SpecialBM“ за изчисляване на историческите равнища на активност.</v>
      </c>
      <c r="K294" s="124" t="str">
        <f>"#JUMP_H_VIII"</f>
        <v>#JUMP_H_VIII</v>
      </c>
      <c r="L294" s="348">
        <v>0.84</v>
      </c>
      <c r="N294" s="477"/>
      <c r="O294" s="477"/>
    </row>
    <row r="295" spans="1:15" ht="12.75">
      <c r="A295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5" s="82">
        <v>23</v>
      </c>
      <c r="C295" s="82">
        <f t="shared" si="3"/>
        <v>47</v>
      </c>
      <c r="D295" s="85" t="str">
        <f t="shared" si="4"/>
        <v>23.47</v>
      </c>
      <c r="E295" s="116" t="str">
        <f>Translations!B212</f>
        <v>Винилхлориден мономер</v>
      </c>
      <c r="F295" s="116" t="str">
        <f t="shared" si="5"/>
        <v>тона</v>
      </c>
      <c r="G295" s="116" t="b">
        <v>1</v>
      </c>
      <c r="H295" s="123">
        <v>0.204</v>
      </c>
      <c r="I295" s="116" t="b">
        <v>0</v>
      </c>
      <c r="J295" s="113" t="str">
        <f>Translations!B105</f>
        <v>Моля, използвайте модула за винилхлориден мономер (VCM) в работния лист (sheet) „SpecialBM“ за изчисляване на предварителното разпределение на квоти.</v>
      </c>
      <c r="K295" s="124" t="str">
        <f>"#JUMP_H_IX"</f>
        <v>#JUMP_H_IX</v>
      </c>
      <c r="L295" s="348">
        <v>0.842</v>
      </c>
      <c r="N295" s="477"/>
      <c r="O295" s="477"/>
    </row>
    <row r="296" spans="1:15" ht="12.75">
      <c r="A296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6" s="82">
        <v>23</v>
      </c>
      <c r="C296" s="82">
        <f t="shared" si="3"/>
        <v>48</v>
      </c>
      <c r="D296" s="85" t="str">
        <f t="shared" si="4"/>
        <v>23.48</v>
      </c>
      <c r="E296" s="116" t="str">
        <f>Translations!B213</f>
        <v>Суспензионен поливинилхлорид (S-PVC)</v>
      </c>
      <c r="F296" s="116" t="str">
        <f t="shared" si="5"/>
        <v>тона</v>
      </c>
      <c r="G296" s="116" t="b">
        <v>1</v>
      </c>
      <c r="H296" s="123">
        <v>0.085</v>
      </c>
      <c r="I296" s="116" t="b">
        <v>0</v>
      </c>
      <c r="J296" s="113">
        <f>""</f>
      </c>
      <c r="K296" s="124">
        <f>""</f>
      </c>
      <c r="L296" s="348">
        <v>0.873</v>
      </c>
      <c r="N296" s="477"/>
      <c r="O296" s="477"/>
    </row>
    <row r="297" spans="1:15" ht="12.75">
      <c r="A297" s="120" t="str">
        <f t="shared" si="1"/>
        <v>Производство на органични химически вещества в насипно или наливно състояние чрез крекинг, реформинг, частично или пълно окисляване или чрез подобни процеси, с производствен капацитет над 100 тона дневно </v>
      </c>
      <c r="B297" s="82">
        <v>23</v>
      </c>
      <c r="C297" s="82">
        <f t="shared" si="3"/>
        <v>49</v>
      </c>
      <c r="D297" s="85" t="str">
        <f t="shared" si="4"/>
        <v>23.49</v>
      </c>
      <c r="E297" s="116" t="str">
        <f>Translations!B214</f>
        <v>Емулсионен поливинилхлорид (E-PVC)</v>
      </c>
      <c r="F297" s="116" t="str">
        <f t="shared" si="5"/>
        <v>тона</v>
      </c>
      <c r="G297" s="116" t="b">
        <v>1</v>
      </c>
      <c r="H297" s="123">
        <v>0.238</v>
      </c>
      <c r="I297" s="116" t="b">
        <v>0</v>
      </c>
      <c r="J297" s="113">
        <f>""</f>
      </c>
      <c r="K297" s="124">
        <f>""</f>
      </c>
      <c r="L297" s="348">
        <v>0.834</v>
      </c>
      <c r="N297" s="477"/>
      <c r="O297" s="477"/>
    </row>
    <row r="298" spans="1:15" ht="12.75">
      <c r="A298" s="120" t="str">
        <f t="shared" si="1"/>
        <v>Производство на водород (H2) и синтетичен газ чрез реформинг или частично окисляване, с производствен капацитет над 25 тона дневно </v>
      </c>
      <c r="B298" s="82">
        <v>24</v>
      </c>
      <c r="C298" s="82">
        <f t="shared" si="3"/>
        <v>50</v>
      </c>
      <c r="D298" s="85" t="str">
        <f t="shared" si="4"/>
        <v>24.50</v>
      </c>
      <c r="E298" s="116" t="str">
        <f>Translations!B215</f>
        <v>Водород</v>
      </c>
      <c r="F298" s="116" t="str">
        <f t="shared" si="5"/>
        <v>тона</v>
      </c>
      <c r="G298" s="116" t="b">
        <v>1</v>
      </c>
      <c r="H298" s="123">
        <v>8.85</v>
      </c>
      <c r="I298" s="116" t="b">
        <v>1</v>
      </c>
      <c r="J298" s="113" t="str">
        <f>Translations!B106</f>
        <v>Моля, използвайте модула за водород  в работния лист (sheet) „ SpecialBM“ за изчисляване на историческите равнища на активност.</v>
      </c>
      <c r="K298" s="124" t="str">
        <f>"#JUMP_H_VI"</f>
        <v>#JUMP_H_VI</v>
      </c>
      <c r="L298" s="348">
        <v>0.902</v>
      </c>
      <c r="N298" s="477"/>
      <c r="O298" s="477"/>
    </row>
    <row r="299" spans="1:15" ht="12.75">
      <c r="A299" s="120" t="str">
        <f t="shared" si="1"/>
        <v>Производство на водород (H2) и синтетичен газ чрез реформинг или частично окисляване, с производствен капацитет над 25 тона дневно </v>
      </c>
      <c r="B299" s="82">
        <v>24</v>
      </c>
      <c r="C299" s="82">
        <f t="shared" si="3"/>
        <v>51</v>
      </c>
      <c r="D299" s="85" t="str">
        <f t="shared" si="4"/>
        <v>24.51</v>
      </c>
      <c r="E299" s="116" t="str">
        <f>Translations!B216</f>
        <v>Генераторен газ (synthesis gas)</v>
      </c>
      <c r="F299" s="116" t="str">
        <f t="shared" si="5"/>
        <v>тона</v>
      </c>
      <c r="G299" s="116" t="b">
        <v>1</v>
      </c>
      <c r="H299" s="123">
        <v>0.242</v>
      </c>
      <c r="I299" s="116" t="b">
        <v>1</v>
      </c>
      <c r="J299" s="113" t="str">
        <f>Translations!B107</f>
        <v>Моля, използвайте модула за  генераторен газ в работния лист (sheet) „ SpecialBM“ за изчисляване на историческите равнища на активност.</v>
      </c>
      <c r="K299" s="124" t="str">
        <f>"#JUMP_H_VII"</f>
        <v>#JUMP_H_VII</v>
      </c>
      <c r="L299" s="348">
        <v>0.902</v>
      </c>
      <c r="N299" s="477"/>
      <c r="O299" s="477"/>
    </row>
    <row r="300" spans="1:15" ht="12.75">
      <c r="A300" s="120" t="str">
        <f t="shared" si="1"/>
        <v>Производство на калцинирана сода (Na2CO3) и на натриев бикарбонат (NaHCO3) </v>
      </c>
      <c r="B300" s="82">
        <v>25</v>
      </c>
      <c r="C300" s="82">
        <f t="shared" si="3"/>
        <v>52</v>
      </c>
      <c r="D300" s="85" t="str">
        <f t="shared" si="4"/>
        <v>25.52</v>
      </c>
      <c r="E300" s="116" t="str">
        <f>Translations!B217</f>
        <v>Калцинирана сода</v>
      </c>
      <c r="F300" s="116" t="str">
        <f t="shared" si="5"/>
        <v>тона</v>
      </c>
      <c r="G300" s="116" t="b">
        <v>1</v>
      </c>
      <c r="H300" s="123">
        <v>0.843</v>
      </c>
      <c r="I300" s="116" t="b">
        <v>0</v>
      </c>
      <c r="J300" s="113">
        <f>""</f>
      </c>
      <c r="K300" s="124">
        <f>""</f>
      </c>
      <c r="L300" s="348">
        <v>0.926</v>
      </c>
      <c r="N300" s="477"/>
      <c r="O300" s="477"/>
    </row>
    <row r="301" spans="1:12" ht="12.75">
      <c r="A301" s="127" t="s">
        <v>53</v>
      </c>
      <c r="B301" s="128" t="s">
        <v>53</v>
      </c>
      <c r="C301" s="128" t="s">
        <v>53</v>
      </c>
      <c r="D301" s="128" t="s">
        <v>53</v>
      </c>
      <c r="E301" s="128" t="s">
        <v>53</v>
      </c>
      <c r="F301" s="128" t="s">
        <v>53</v>
      </c>
      <c r="G301" s="128" t="s">
        <v>53</v>
      </c>
      <c r="H301" s="128" t="s">
        <v>53</v>
      </c>
      <c r="I301" s="128" t="s">
        <v>53</v>
      </c>
      <c r="J301" s="128" t="s">
        <v>53</v>
      </c>
      <c r="K301" s="128" t="s">
        <v>53</v>
      </c>
      <c r="L301" s="128" t="s">
        <v>53</v>
      </c>
    </row>
    <row r="302" s="118" customFormat="1" ht="12.75">
      <c r="A302" s="118" t="s">
        <v>481</v>
      </c>
    </row>
    <row r="303" spans="1:11" ht="12.75">
      <c r="A303" s="116"/>
      <c r="B303" s="116"/>
      <c r="C303" s="116" t="s">
        <v>521</v>
      </c>
      <c r="D303" s="116" t="s">
        <v>522</v>
      </c>
      <c r="E303" s="116" t="s">
        <v>482</v>
      </c>
      <c r="F303" s="116" t="s">
        <v>125</v>
      </c>
      <c r="G303" s="116" t="s">
        <v>524</v>
      </c>
      <c r="H303" s="116" t="s">
        <v>525</v>
      </c>
      <c r="I303" s="116" t="s">
        <v>14</v>
      </c>
      <c r="J303" s="116"/>
      <c r="K303" s="129"/>
    </row>
    <row r="304" spans="2:12" s="130" customFormat="1" ht="12.75">
      <c r="B304" s="130">
        <v>90</v>
      </c>
      <c r="C304" s="131">
        <v>91</v>
      </c>
      <c r="D304" s="132" t="str">
        <f aca="true" t="shared" si="6" ref="D304:D309">CONCATENATE(TEXT(B304,"00"),".",TEXT(C304,"00"))</f>
        <v>90.91</v>
      </c>
      <c r="E304" s="34" t="str">
        <f>Translations!B218</f>
        <v>Подинсталация с топлинен показател, с риск от изтичане на въглерод</v>
      </c>
      <c r="F304" s="4" t="str">
        <f>EUconst_TJ</f>
        <v>TJ</v>
      </c>
      <c r="G304" s="33" t="b">
        <v>1</v>
      </c>
      <c r="H304" s="131">
        <v>62.3</v>
      </c>
      <c r="I304" s="131" t="s">
        <v>15</v>
      </c>
      <c r="L304" s="350">
        <v>1</v>
      </c>
    </row>
    <row r="305" spans="2:12" s="130" customFormat="1" ht="12.75">
      <c r="B305" s="130">
        <v>90</v>
      </c>
      <c r="C305" s="131">
        <v>92</v>
      </c>
      <c r="D305" s="132" t="str">
        <f t="shared" si="6"/>
        <v>90.92</v>
      </c>
      <c r="E305" s="34" t="str">
        <f>Translations!B219</f>
        <v>Подинсталация с топлинен показател, без риск от изтичане на въглерод</v>
      </c>
      <c r="F305" s="4" t="str">
        <f>EUconst_TJ</f>
        <v>TJ</v>
      </c>
      <c r="G305" s="33" t="b">
        <v>0</v>
      </c>
      <c r="H305" s="131">
        <v>62.3</v>
      </c>
      <c r="I305" s="131" t="s">
        <v>15</v>
      </c>
      <c r="L305" s="350">
        <v>1</v>
      </c>
    </row>
    <row r="306" spans="2:12" s="130" customFormat="1" ht="12.75">
      <c r="B306" s="130">
        <v>90</v>
      </c>
      <c r="C306" s="131">
        <v>93</v>
      </c>
      <c r="D306" s="132" t="str">
        <f t="shared" si="6"/>
        <v>90.93</v>
      </c>
      <c r="E306" s="34" t="str">
        <f>Translations!B220</f>
        <v>Подинсталация с горивен показател, с риск от изтичане на въглерод</v>
      </c>
      <c r="F306" s="4" t="str">
        <f>EUconst_TJ</f>
        <v>TJ</v>
      </c>
      <c r="G306" s="33" t="b">
        <v>1</v>
      </c>
      <c r="H306" s="131">
        <v>56.1</v>
      </c>
      <c r="I306" s="131" t="s">
        <v>16</v>
      </c>
      <c r="L306" s="350">
        <v>1</v>
      </c>
    </row>
    <row r="307" spans="2:12" s="130" customFormat="1" ht="12.75">
      <c r="B307" s="130">
        <v>90</v>
      </c>
      <c r="C307" s="131">
        <v>94</v>
      </c>
      <c r="D307" s="132" t="str">
        <f t="shared" si="6"/>
        <v>90.94</v>
      </c>
      <c r="E307" s="34" t="str">
        <f>Translations!B221</f>
        <v>Подинсталация с горивен показател, без риск от изтичане на въглерод</v>
      </c>
      <c r="F307" s="4" t="str">
        <f>EUconst_TJ</f>
        <v>TJ</v>
      </c>
      <c r="G307" s="33" t="b">
        <v>0</v>
      </c>
      <c r="H307" s="131">
        <v>56.1</v>
      </c>
      <c r="I307" s="131" t="s">
        <v>16</v>
      </c>
      <c r="L307" s="350">
        <v>1</v>
      </c>
    </row>
    <row r="308" spans="2:12" s="130" customFormat="1" ht="12.75">
      <c r="B308" s="130">
        <v>90</v>
      </c>
      <c r="C308" s="131">
        <v>95</v>
      </c>
      <c r="D308" s="132" t="str">
        <f t="shared" si="6"/>
        <v>90.95</v>
      </c>
      <c r="E308" s="34" t="str">
        <f>Translations!B222</f>
        <v>Подинсталация с технологични емисии, с риск от изтичане на въглерод</v>
      </c>
      <c r="F308" s="4" t="str">
        <f>EUconst_tCO2e</f>
        <v>t CO2e</v>
      </c>
      <c r="G308" s="33" t="b">
        <v>1</v>
      </c>
      <c r="H308" s="131">
        <v>0.97</v>
      </c>
      <c r="I308" s="131" t="s">
        <v>17</v>
      </c>
      <c r="L308" s="350">
        <v>1</v>
      </c>
    </row>
    <row r="309" spans="2:12" s="130" customFormat="1" ht="12.75">
      <c r="B309" s="130">
        <v>90</v>
      </c>
      <c r="C309" s="131">
        <v>96</v>
      </c>
      <c r="D309" s="132" t="str">
        <f t="shared" si="6"/>
        <v>90.96</v>
      </c>
      <c r="E309" s="34" t="str">
        <f>Translations!B223</f>
        <v>Подинсталация с технологични емисии, без риск от изтичане на въглерод</v>
      </c>
      <c r="F309" s="4" t="str">
        <f>EUconst_tCO2e</f>
        <v>t CO2e</v>
      </c>
      <c r="G309" s="33" t="b">
        <v>0</v>
      </c>
      <c r="H309" s="131">
        <v>0.97</v>
      </c>
      <c r="I309" s="131" t="s">
        <v>17</v>
      </c>
      <c r="L309" s="350">
        <v>1</v>
      </c>
    </row>
    <row r="310" s="118" customFormat="1" ht="12.75">
      <c r="A310" s="118" t="s">
        <v>9</v>
      </c>
    </row>
    <row r="311" spans="1:11" ht="12.75">
      <c r="A311" s="116"/>
      <c r="B311" s="116"/>
      <c r="C311" s="116"/>
      <c r="D311" s="116"/>
      <c r="E311" s="295" t="s">
        <v>11</v>
      </c>
      <c r="F311" s="295" t="s">
        <v>10</v>
      </c>
      <c r="G311" s="295" t="s">
        <v>29</v>
      </c>
      <c r="H311" s="116"/>
      <c r="I311" s="116"/>
      <c r="J311" s="116"/>
      <c r="K311" s="129"/>
    </row>
    <row r="312" spans="3:9" s="130" customFormat="1" ht="12.75">
      <c r="C312" s="131"/>
      <c r="D312" s="132"/>
      <c r="E312" s="326">
        <v>0</v>
      </c>
      <c r="F312" s="326">
        <v>1</v>
      </c>
      <c r="G312" s="294" t="s">
        <v>30</v>
      </c>
      <c r="H312" s="131"/>
      <c r="I312" s="131"/>
    </row>
    <row r="313" spans="3:9" s="130" customFormat="1" ht="12.75">
      <c r="C313" s="131"/>
      <c r="D313" s="132"/>
      <c r="E313" s="326">
        <v>0.5</v>
      </c>
      <c r="F313" s="326">
        <v>0.5</v>
      </c>
      <c r="G313" s="294" t="s">
        <v>31</v>
      </c>
      <c r="H313" s="131"/>
      <c r="I313" s="131"/>
    </row>
    <row r="314" spans="3:9" s="130" customFormat="1" ht="12.75">
      <c r="C314" s="131"/>
      <c r="D314" s="132"/>
      <c r="E314" s="326">
        <v>0.75</v>
      </c>
      <c r="F314" s="326">
        <v>0.25</v>
      </c>
      <c r="G314" s="294" t="s">
        <v>32</v>
      </c>
      <c r="H314" s="131"/>
      <c r="I314" s="131"/>
    </row>
    <row r="315" spans="3:9" s="130" customFormat="1" ht="12.75">
      <c r="C315" s="131"/>
      <c r="D315" s="132"/>
      <c r="E315" s="326">
        <v>0.9</v>
      </c>
      <c r="F315" s="326">
        <v>0</v>
      </c>
      <c r="G315" s="294" t="s">
        <v>33</v>
      </c>
      <c r="H315" s="131"/>
      <c r="I315" s="131"/>
    </row>
    <row r="316" s="118" customFormat="1" ht="12.75">
      <c r="A316" s="118" t="s">
        <v>26</v>
      </c>
    </row>
    <row r="317" spans="3:15" s="130" customFormat="1" ht="12.75">
      <c r="C317" s="90"/>
      <c r="D317" s="132"/>
      <c r="E317" s="4" t="str">
        <f>Translations!$B$166</f>
        <v>Нефтохимически продукти</v>
      </c>
      <c r="F317" s="4"/>
      <c r="G317" s="33"/>
      <c r="H317" s="131"/>
      <c r="I317" s="131"/>
      <c r="J317" s="327"/>
      <c r="M317" s="332"/>
      <c r="N317" s="332"/>
      <c r="O317" s="332"/>
    </row>
    <row r="318" spans="3:15" s="130" customFormat="1" ht="12.75">
      <c r="C318" s="90"/>
      <c r="D318" s="132"/>
      <c r="E318" s="4" t="str">
        <f>Translations!$B$167</f>
        <v>Кокс</v>
      </c>
      <c r="F318" s="4"/>
      <c r="G318" s="33"/>
      <c r="H318" s="131"/>
      <c r="I318" s="131"/>
      <c r="M318" s="333"/>
      <c r="N318" s="333"/>
      <c r="O318" s="333"/>
    </row>
    <row r="319" spans="3:15" s="130" customFormat="1" ht="12.75">
      <c r="C319" s="90"/>
      <c r="D319" s="132"/>
      <c r="E319" s="4" t="str">
        <f>Translations!$B$168</f>
        <v>Агломерат</v>
      </c>
      <c r="F319" s="4"/>
      <c r="G319" s="33"/>
      <c r="H319" s="131"/>
      <c r="I319" s="131"/>
      <c r="M319" s="333"/>
      <c r="N319" s="333"/>
      <c r="O319" s="333"/>
    </row>
    <row r="320" spans="3:15" s="130" customFormat="1" ht="12.75">
      <c r="C320" s="90"/>
      <c r="D320" s="132"/>
      <c r="E320" s="4" t="str">
        <f>Translations!$B$169</f>
        <v>Течни черни метали (hot metal)</v>
      </c>
      <c r="F320" s="4"/>
      <c r="G320" s="33"/>
      <c r="H320" s="131"/>
      <c r="I320" s="131"/>
      <c r="M320" s="333"/>
      <c r="N320" s="333"/>
      <c r="O320" s="333"/>
    </row>
    <row r="321" spans="3:15" s="130" customFormat="1" ht="12.75">
      <c r="C321" s="90"/>
      <c r="D321" s="132"/>
      <c r="E321" s="4" t="str">
        <f>Translations!$B$170</f>
        <v>Въглеродна стомана от електродъговa пещ</v>
      </c>
      <c r="F321" s="4"/>
      <c r="G321" s="33"/>
      <c r="H321" s="131"/>
      <c r="I321" s="131"/>
      <c r="M321" s="333"/>
      <c r="N321" s="333"/>
      <c r="O321" s="333"/>
    </row>
    <row r="322" spans="3:15" s="130" customFormat="1" ht="12.75">
      <c r="C322" s="90"/>
      <c r="D322" s="132"/>
      <c r="E322" s="4" t="str">
        <f>Translations!$B$171</f>
        <v>Високолегирана стомана от електродъговa пещ</v>
      </c>
      <c r="F322" s="4"/>
      <c r="G322" s="33"/>
      <c r="H322" s="131"/>
      <c r="I322" s="131"/>
      <c r="M322" s="333"/>
      <c r="N322" s="333"/>
      <c r="O322" s="333"/>
    </row>
    <row r="323" spans="3:15" s="130" customFormat="1" ht="12.75">
      <c r="C323" s="90"/>
      <c r="D323" s="132"/>
      <c r="E323" s="4" t="str">
        <f>Translations!$B$172</f>
        <v>Леене на чугун</v>
      </c>
      <c r="F323" s="4"/>
      <c r="G323" s="33"/>
      <c r="H323" s="131"/>
      <c r="I323" s="131"/>
      <c r="M323" s="3"/>
      <c r="N323" s="3"/>
      <c r="O323" s="3"/>
    </row>
    <row r="324" spans="3:15" s="130" customFormat="1" ht="12.75">
      <c r="C324" s="90"/>
      <c r="D324" s="132"/>
      <c r="E324" s="4" t="str">
        <f>Translations!$B$173</f>
        <v>Предварително изпечен анод</v>
      </c>
      <c r="F324" s="4"/>
      <c r="G324" s="33"/>
      <c r="H324" s="131"/>
      <c r="I324" s="131"/>
      <c r="M324" s="3"/>
      <c r="N324" s="3"/>
      <c r="O324" s="3"/>
    </row>
    <row r="325" spans="3:15" s="130" customFormat="1" ht="12.75">
      <c r="C325" s="90"/>
      <c r="D325" s="132"/>
      <c r="E325" s="4" t="str">
        <f>Translations!$B$174</f>
        <v>[Първичен] алуминий</v>
      </c>
      <c r="F325" s="4"/>
      <c r="G325" s="33"/>
      <c r="H325" s="131"/>
      <c r="I325" s="131"/>
      <c r="M325" s="3"/>
      <c r="N325" s="3"/>
      <c r="O325" s="3"/>
    </row>
    <row r="326" spans="3:15" s="130" customFormat="1" ht="12.75">
      <c r="C326" s="90"/>
      <c r="D326" s="132"/>
      <c r="E326" s="4" t="str">
        <f>Translations!$B$175</f>
        <v>Клинкер за сив цимент</v>
      </c>
      <c r="F326" s="4"/>
      <c r="G326" s="33"/>
      <c r="H326" s="131"/>
      <c r="I326" s="131"/>
      <c r="M326" s="3"/>
      <c r="N326" s="3"/>
      <c r="O326" s="3"/>
    </row>
    <row r="327" spans="3:15" s="130" customFormat="1" ht="12.75">
      <c r="C327" s="90"/>
      <c r="D327" s="132"/>
      <c r="E327" s="4" t="str">
        <f>Translations!$B$176</f>
        <v>Клинкер за бял цимент</v>
      </c>
      <c r="F327" s="4"/>
      <c r="G327" s="33"/>
      <c r="H327" s="131"/>
      <c r="I327" s="131"/>
      <c r="M327" s="3"/>
      <c r="N327" s="3"/>
      <c r="O327" s="3"/>
    </row>
    <row r="328" spans="3:15" s="130" customFormat="1" ht="12.75">
      <c r="C328" s="90"/>
      <c r="D328" s="132"/>
      <c r="E328" s="4" t="str">
        <f>Translations!$B$177</f>
        <v>Вар</v>
      </c>
      <c r="F328" s="4"/>
      <c r="G328" s="33"/>
      <c r="H328" s="131"/>
      <c r="I328" s="131"/>
      <c r="M328" s="3"/>
      <c r="N328" s="3"/>
      <c r="O328" s="3"/>
    </row>
    <row r="329" spans="3:15" s="130" customFormat="1" ht="12.75">
      <c r="C329" s="90"/>
      <c r="D329" s="132"/>
      <c r="E329" s="4" t="str">
        <f>Translations!$B$178</f>
        <v>Доломитна вар</v>
      </c>
      <c r="F329" s="4"/>
      <c r="G329" s="33"/>
      <c r="H329" s="131"/>
      <c r="I329" s="131"/>
      <c r="M329" s="3"/>
      <c r="N329" s="3"/>
      <c r="O329" s="3"/>
    </row>
    <row r="330" spans="3:15" s="130" customFormat="1" ht="12.75">
      <c r="C330" s="90"/>
      <c r="D330" s="132"/>
      <c r="E330" s="4" t="str">
        <f>Translations!$B$179</f>
        <v>Синтерована доломитна вар</v>
      </c>
      <c r="F330" s="4"/>
      <c r="G330" s="33"/>
      <c r="H330" s="131"/>
      <c r="I330" s="131"/>
      <c r="M330" s="3"/>
      <c r="N330" s="3"/>
      <c r="O330" s="3"/>
    </row>
    <row r="331" spans="3:15" s="130" customFormat="1" ht="12.75">
      <c r="C331" s="90"/>
      <c r="D331" s="132"/>
      <c r="E331" s="4" t="str">
        <f>Translations!$B$180</f>
        <v>Флоатно стъкло</v>
      </c>
      <c r="F331" s="4"/>
      <c r="G331" s="33"/>
      <c r="H331" s="131"/>
      <c r="I331" s="131"/>
      <c r="M331" s="3"/>
      <c r="N331" s="3"/>
      <c r="O331" s="3"/>
    </row>
    <row r="332" spans="3:15" s="130" customFormat="1" ht="12.75">
      <c r="C332" s="90"/>
      <c r="D332" s="132"/>
      <c r="E332" s="4" t="str">
        <f>Translations!$B$181</f>
        <v>Бутилки и буркани от безцветно стъкло</v>
      </c>
      <c r="F332" s="4"/>
      <c r="G332" s="33"/>
      <c r="H332" s="131"/>
      <c r="I332" s="131"/>
      <c r="M332" s="3"/>
      <c r="N332" s="3"/>
      <c r="O332" s="3"/>
    </row>
    <row r="333" spans="3:15" s="130" customFormat="1" ht="12.75">
      <c r="C333" s="90"/>
      <c r="D333" s="132"/>
      <c r="E333" s="4" t="str">
        <f>Translations!$B$182</f>
        <v>Бутилки и буркани от цветно стъкло</v>
      </c>
      <c r="F333" s="4"/>
      <c r="G333" s="33"/>
      <c r="H333" s="131"/>
      <c r="I333" s="131"/>
      <c r="M333" s="3"/>
      <c r="N333" s="3"/>
      <c r="O333" s="3"/>
    </row>
    <row r="334" spans="3:15" s="130" customFormat="1" ht="12.75">
      <c r="C334" s="90"/>
      <c r="D334" s="132"/>
      <c r="E334" s="4" t="str">
        <f>Translations!$B$183</f>
        <v>Продукти от стъклени влакна с непрекъсната нишка</v>
      </c>
      <c r="F334" s="4"/>
      <c r="G334" s="33"/>
      <c r="H334" s="131"/>
      <c r="I334" s="131"/>
      <c r="M334" s="3"/>
      <c r="N334" s="3"/>
      <c r="O334" s="3"/>
    </row>
    <row r="335" spans="3:15" s="130" customFormat="1" ht="12.75">
      <c r="C335" s="90"/>
      <c r="D335" s="132"/>
      <c r="E335" s="4" t="str">
        <f>Translations!$B$184</f>
        <v>Oблицовъчни тухли</v>
      </c>
      <c r="F335" s="4"/>
      <c r="G335" s="33"/>
      <c r="H335" s="131"/>
      <c r="I335" s="131"/>
      <c r="M335" s="3"/>
      <c r="N335" s="3"/>
      <c r="O335" s="3"/>
    </row>
    <row r="336" spans="3:15" s="130" customFormat="1" ht="12.75">
      <c r="C336" s="90"/>
      <c r="D336" s="132"/>
      <c r="E336" s="4" t="str">
        <f>Translations!$B$185</f>
        <v>Настилъчни тухли</v>
      </c>
      <c r="F336" s="4"/>
      <c r="G336" s="33"/>
      <c r="H336" s="131"/>
      <c r="I336" s="131"/>
      <c r="M336" s="3"/>
      <c r="N336" s="3"/>
      <c r="O336" s="3"/>
    </row>
    <row r="337" spans="3:15" s="130" customFormat="1" ht="12.75">
      <c r="C337" s="90"/>
      <c r="D337" s="132"/>
      <c r="E337" s="4" t="str">
        <f>Translations!$B$186</f>
        <v>Керемиди</v>
      </c>
      <c r="F337" s="4"/>
      <c r="G337" s="33"/>
      <c r="H337" s="131"/>
      <c r="I337" s="131"/>
      <c r="M337" s="3"/>
      <c r="N337" s="3"/>
      <c r="O337" s="3"/>
    </row>
    <row r="338" spans="3:15" s="130" customFormat="1" ht="12.75">
      <c r="C338" s="90"/>
      <c r="D338" s="132"/>
      <c r="E338" s="4" t="str">
        <f>Translations!$B$187</f>
        <v>Изсушени чрез пулверизация прахообразни материали</v>
      </c>
      <c r="F338" s="4"/>
      <c r="G338" s="33"/>
      <c r="H338" s="131"/>
      <c r="I338" s="131"/>
      <c r="M338" s="3"/>
      <c r="N338" s="3"/>
      <c r="O338" s="3"/>
    </row>
    <row r="339" spans="3:15" s="130" customFormat="1" ht="12.75">
      <c r="C339" s="90"/>
      <c r="D339" s="132"/>
      <c r="E339" s="4" t="str">
        <f>Translations!$B$188</f>
        <v>Минерална/стъклена вата</v>
      </c>
      <c r="F339" s="4"/>
      <c r="G339" s="33"/>
      <c r="H339" s="131"/>
      <c r="I339" s="131"/>
      <c r="M339" s="3"/>
      <c r="N339" s="3"/>
      <c r="O339" s="3"/>
    </row>
    <row r="340" spans="3:15" s="130" customFormat="1" ht="12.75">
      <c r="C340" s="90"/>
      <c r="D340" s="132"/>
      <c r="E340" s="4" t="str">
        <f>Translations!$B$189</f>
        <v>Гипсови материали</v>
      </c>
      <c r="F340" s="4"/>
      <c r="G340" s="33"/>
      <c r="H340" s="131"/>
      <c r="I340" s="131"/>
      <c r="M340" s="3"/>
      <c r="N340" s="3"/>
      <c r="O340" s="3"/>
    </row>
    <row r="341" spans="3:15" s="130" customFormat="1" ht="12.75">
      <c r="C341" s="90"/>
      <c r="D341" s="132"/>
      <c r="E341" s="4" t="str">
        <f>Translations!$B$190</f>
        <v>Изсушен вторичен гипс</v>
      </c>
      <c r="F341" s="4"/>
      <c r="G341" s="33"/>
      <c r="H341" s="131"/>
      <c r="I341" s="131"/>
      <c r="M341" s="3"/>
      <c r="N341" s="3"/>
      <c r="O341" s="3"/>
    </row>
    <row r="342" spans="3:15" s="130" customFormat="1" ht="12.75">
      <c r="C342" s="90"/>
      <c r="D342" s="132"/>
      <c r="E342" s="4" t="str">
        <f>Translations!$B$191</f>
        <v>Гипсови плоскости (гипсокартон)</v>
      </c>
      <c r="F342" s="4"/>
      <c r="G342" s="33"/>
      <c r="H342" s="131"/>
      <c r="I342" s="131"/>
      <c r="M342" s="3"/>
      <c r="N342" s="3"/>
      <c r="O342" s="3"/>
    </row>
    <row r="343" spans="3:15" s="130" customFormat="1" ht="12.75">
      <c r="C343" s="90"/>
      <c r="D343" s="132"/>
      <c r="E343" s="4" t="str">
        <f>Translations!$B$192</f>
        <v>Късовлакнеста сулфатна целулоза</v>
      </c>
      <c r="F343" s="4"/>
      <c r="G343" s="33"/>
      <c r="H343" s="131"/>
      <c r="I343" s="131"/>
      <c r="M343" s="3"/>
      <c r="N343" s="3"/>
      <c r="O343" s="3"/>
    </row>
    <row r="344" spans="3:15" s="130" customFormat="1" ht="12.75">
      <c r="C344" s="90"/>
      <c r="D344" s="132"/>
      <c r="E344" s="4" t="str">
        <f>Translations!$B$193</f>
        <v>Дълговлакнеста сулфатна целулоза</v>
      </c>
      <c r="F344" s="4"/>
      <c r="G344" s="33"/>
      <c r="H344" s="131"/>
      <c r="I344" s="131"/>
      <c r="M344" s="3"/>
      <c r="N344" s="3"/>
      <c r="O344" s="3"/>
    </row>
    <row r="345" spans="3:15" s="130" customFormat="1" ht="12.75">
      <c r="C345" s="90"/>
      <c r="D345" s="132"/>
      <c r="E345" s="4" t="str">
        <f>Translations!$B$194</f>
        <v>Сулфитна целулоза, термо-механична и механична целулоза</v>
      </c>
      <c r="F345" s="4"/>
      <c r="G345" s="33"/>
      <c r="H345" s="131"/>
      <c r="I345" s="131"/>
      <c r="M345" s="3"/>
      <c r="N345" s="3"/>
      <c r="O345" s="3"/>
    </row>
    <row r="346" spans="3:15" s="130" customFormat="1" ht="12.75">
      <c r="C346" s="90"/>
      <c r="D346" s="132"/>
      <c r="E346" s="4" t="str">
        <f>Translations!$B$195</f>
        <v>Показател за целулоза от вторично използвана хартия (recovered paper pulp)</v>
      </c>
      <c r="F346" s="4"/>
      <c r="G346" s="33"/>
      <c r="H346" s="131"/>
      <c r="I346" s="131"/>
      <c r="M346" s="3"/>
      <c r="N346" s="3"/>
      <c r="O346" s="3"/>
    </row>
    <row r="347" spans="3:15" s="130" customFormat="1" ht="12.75">
      <c r="C347" s="90"/>
      <c r="D347" s="132"/>
      <c r="E347" s="4" t="str">
        <f>Translations!$B$196</f>
        <v>Вестникарска хартия</v>
      </c>
      <c r="F347" s="4"/>
      <c r="G347" s="33"/>
      <c r="H347" s="131"/>
      <c r="I347" s="131"/>
      <c r="M347" s="3"/>
      <c r="N347" s="3"/>
      <c r="O347" s="3"/>
    </row>
    <row r="348" spans="3:15" s="130" customFormat="1" ht="12.75">
      <c r="C348" s="90"/>
      <c r="D348" s="132"/>
      <c r="E348" s="4" t="str">
        <f>Translations!$B$197</f>
        <v>Непокрита висококачествена хартия (uncoated fine paper)</v>
      </c>
      <c r="F348" s="4"/>
      <c r="G348" s="33"/>
      <c r="H348" s="131"/>
      <c r="I348" s="131"/>
      <c r="M348" s="3"/>
      <c r="N348" s="3"/>
      <c r="O348" s="3"/>
    </row>
    <row r="349" spans="3:15" s="130" customFormat="1" ht="12.75">
      <c r="C349" s="90"/>
      <c r="D349" s="132"/>
      <c r="E349" s="4" t="str">
        <f>Translations!$B$198</f>
        <v>Висококачествена покрита хартия (coated fine paper)</v>
      </c>
      <c r="F349" s="4"/>
      <c r="G349" s="33"/>
      <c r="H349" s="131"/>
      <c r="I349" s="131"/>
      <c r="M349" s="3"/>
      <c r="N349" s="3"/>
      <c r="O349" s="3"/>
    </row>
    <row r="350" spans="3:15" s="130" customFormat="1" ht="12.75">
      <c r="C350" s="90"/>
      <c r="D350" s="132"/>
      <c r="E350" s="4" t="str">
        <f>Translations!$B$199</f>
        <v>Хартия тип тишу</v>
      </c>
      <c r="F350" s="4"/>
      <c r="G350" s="33"/>
      <c r="H350" s="131"/>
      <c r="I350" s="131"/>
      <c r="M350" s="3"/>
      <c r="N350" s="3"/>
      <c r="O350" s="3"/>
    </row>
    <row r="351" spans="3:15" s="130" customFormat="1" ht="12.75">
      <c r="C351" s="90"/>
      <c r="D351" s="132"/>
      <c r="E351" s="4" t="str">
        <f>Translations!$B$200</f>
        <v>Хартия за външни гладки пластове на велпапе (testliner) и хартия за навълняване (fluting)</v>
      </c>
      <c r="F351" s="4"/>
      <c r="G351" s="33"/>
      <c r="H351" s="131"/>
      <c r="I351" s="131"/>
      <c r="M351" s="3"/>
      <c r="N351" s="3"/>
      <c r="O351" s="3"/>
    </row>
    <row r="352" spans="3:15" s="130" customFormat="1" ht="12.75">
      <c r="C352" s="90"/>
      <c r="D352" s="132"/>
      <c r="E352" s="4" t="str">
        <f>Translations!$B$201</f>
        <v>Непокрит картон</v>
      </c>
      <c r="F352" s="4"/>
      <c r="G352" s="33"/>
      <c r="H352" s="131"/>
      <c r="I352" s="131"/>
      <c r="M352" s="3"/>
      <c r="N352" s="3"/>
      <c r="O352" s="3"/>
    </row>
    <row r="353" spans="3:15" s="130" customFormat="1" ht="12.75">
      <c r="C353" s="90"/>
      <c r="D353" s="132"/>
      <c r="E353" s="4" t="str">
        <f>Translations!$B$202</f>
        <v>Покрит картон</v>
      </c>
      <c r="F353" s="4"/>
      <c r="G353" s="33"/>
      <c r="H353" s="131"/>
      <c r="I353" s="131"/>
      <c r="M353" s="3"/>
      <c r="N353" s="3"/>
      <c r="O353" s="3"/>
    </row>
    <row r="354" spans="3:15" s="130" customFormat="1" ht="12.75">
      <c r="C354" s="90"/>
      <c r="D354" s="132"/>
      <c r="E354" s="4" t="str">
        <f>Translations!$B$203</f>
        <v>Технически въглерод (carbon black)</v>
      </c>
      <c r="F354" s="4"/>
      <c r="G354" s="33"/>
      <c r="H354" s="131"/>
      <c r="I354" s="131"/>
      <c r="M354" s="3"/>
      <c r="N354" s="3"/>
      <c r="O354" s="3"/>
    </row>
    <row r="355" spans="3:15" s="130" customFormat="1" ht="12.75">
      <c r="C355" s="90"/>
      <c r="D355" s="132"/>
      <c r="E355" s="4" t="str">
        <f>Translations!$B$204</f>
        <v>Азотна киселина</v>
      </c>
      <c r="F355" s="4"/>
      <c r="G355" s="33"/>
      <c r="H355" s="131"/>
      <c r="I355" s="131"/>
      <c r="M355" s="3"/>
      <c r="N355" s="3"/>
      <c r="O355" s="3"/>
    </row>
    <row r="356" spans="3:15" s="130" customFormat="1" ht="12.75">
      <c r="C356" s="90"/>
      <c r="D356" s="132"/>
      <c r="E356" s="4" t="str">
        <f>Translations!$B$205</f>
        <v>Адипинова киселина</v>
      </c>
      <c r="F356" s="4"/>
      <c r="G356" s="33"/>
      <c r="H356" s="131"/>
      <c r="I356" s="131"/>
      <c r="M356" s="3"/>
      <c r="N356" s="3"/>
      <c r="O356" s="3"/>
    </row>
    <row r="357" spans="3:15" s="130" customFormat="1" ht="12.75">
      <c r="C357" s="90"/>
      <c r="D357" s="132"/>
      <c r="E357" s="4" t="str">
        <f>Translations!$B$206</f>
        <v>Амоняк</v>
      </c>
      <c r="F357" s="4"/>
      <c r="G357" s="33"/>
      <c r="H357" s="131"/>
      <c r="I357" s="131"/>
      <c r="M357" s="3"/>
      <c r="N357" s="3"/>
      <c r="O357" s="3"/>
    </row>
    <row r="358" spans="3:15" s="130" customFormat="1" ht="12.75">
      <c r="C358" s="90"/>
      <c r="D358" s="132"/>
      <c r="E358" s="4" t="str">
        <f>Translations!$B$207</f>
        <v>Крекинг с водна пара</v>
      </c>
      <c r="F358" s="4"/>
      <c r="G358" s="33"/>
      <c r="H358" s="131"/>
      <c r="I358" s="131"/>
      <c r="M358" s="3"/>
      <c r="N358" s="3"/>
      <c r="O358" s="3"/>
    </row>
    <row r="359" spans="3:15" s="130" customFormat="1" ht="12.75">
      <c r="C359" s="90"/>
      <c r="D359" s="132"/>
      <c r="E359" s="4" t="str">
        <f>Translations!$B$208</f>
        <v>Ароматни съединения</v>
      </c>
      <c r="F359" s="4"/>
      <c r="G359" s="33"/>
      <c r="H359" s="131"/>
      <c r="I359" s="131"/>
      <c r="M359" s="3"/>
      <c r="N359" s="3"/>
      <c r="O359" s="3"/>
    </row>
    <row r="360" spans="3:15" s="130" customFormat="1" ht="12.75">
      <c r="C360" s="90"/>
      <c r="D360" s="132"/>
      <c r="E360" s="4" t="str">
        <f>Translations!$B$209</f>
        <v>Стирен</v>
      </c>
      <c r="F360" s="4"/>
      <c r="G360" s="33"/>
      <c r="H360" s="131"/>
      <c r="I360" s="131"/>
      <c r="M360" s="3"/>
      <c r="N360" s="3"/>
      <c r="O360" s="3"/>
    </row>
    <row r="361" spans="3:15" s="130" customFormat="1" ht="12.75">
      <c r="C361" s="90"/>
      <c r="D361" s="132"/>
      <c r="E361" s="4" t="str">
        <f>Translations!$B$210</f>
        <v>Фенол/ацетон</v>
      </c>
      <c r="F361" s="4"/>
      <c r="G361" s="33"/>
      <c r="H361" s="131"/>
      <c r="I361" s="131"/>
      <c r="M361" s="3"/>
      <c r="N361" s="3"/>
      <c r="O361" s="3"/>
    </row>
    <row r="362" spans="3:15" s="130" customFormat="1" ht="12.75">
      <c r="C362" s="90"/>
      <c r="D362" s="132"/>
      <c r="E362" s="4" t="str">
        <f>Translations!$B$211</f>
        <v>Етиленов оксид/ етиленгликоли</v>
      </c>
      <c r="F362" s="4"/>
      <c r="G362" s="33"/>
      <c r="H362" s="131"/>
      <c r="I362" s="131"/>
      <c r="M362" s="3"/>
      <c r="N362" s="3"/>
      <c r="O362" s="3"/>
    </row>
    <row r="363" spans="3:15" s="130" customFormat="1" ht="12.75">
      <c r="C363" s="90"/>
      <c r="D363" s="132"/>
      <c r="E363" s="4" t="str">
        <f>Translations!$B$212</f>
        <v>Винилхлориден мономер</v>
      </c>
      <c r="F363" s="4"/>
      <c r="G363" s="33"/>
      <c r="H363" s="131"/>
      <c r="I363" s="131"/>
      <c r="M363" s="3"/>
      <c r="N363" s="3"/>
      <c r="O363" s="3"/>
    </row>
    <row r="364" spans="3:15" s="130" customFormat="1" ht="12.75">
      <c r="C364" s="90"/>
      <c r="D364" s="132"/>
      <c r="E364" s="4" t="str">
        <f>Translations!$B$213</f>
        <v>Суспензионен поливинилхлорид (S-PVC)</v>
      </c>
      <c r="F364" s="4"/>
      <c r="G364" s="33"/>
      <c r="H364" s="131"/>
      <c r="I364" s="131"/>
      <c r="M364" s="3"/>
      <c r="N364" s="3"/>
      <c r="O364" s="3"/>
    </row>
    <row r="365" spans="3:15" s="130" customFormat="1" ht="12.75">
      <c r="C365" s="90"/>
      <c r="D365" s="132"/>
      <c r="E365" s="4" t="str">
        <f>Translations!$B$214</f>
        <v>Емулсионен поливинилхлорид (E-PVC)</v>
      </c>
      <c r="F365" s="4"/>
      <c r="G365" s="33"/>
      <c r="H365" s="131"/>
      <c r="I365" s="131"/>
      <c r="M365" s="3"/>
      <c r="N365" s="3"/>
      <c r="O365" s="3"/>
    </row>
    <row r="366" spans="3:15" s="130" customFormat="1" ht="12.75">
      <c r="C366" s="90"/>
      <c r="D366" s="132"/>
      <c r="E366" s="4" t="str">
        <f>Translations!$B$215</f>
        <v>Водород</v>
      </c>
      <c r="F366" s="4"/>
      <c r="G366" s="33"/>
      <c r="H366" s="131"/>
      <c r="I366" s="131"/>
      <c r="M366" s="3"/>
      <c r="N366" s="3"/>
      <c r="O366" s="3"/>
    </row>
    <row r="367" spans="3:15" s="130" customFormat="1" ht="12.75">
      <c r="C367" s="90"/>
      <c r="D367" s="132"/>
      <c r="E367" s="4" t="str">
        <f>Translations!$B$216</f>
        <v>Генераторен газ (synthesis gas)</v>
      </c>
      <c r="F367" s="4"/>
      <c r="G367" s="33"/>
      <c r="H367" s="131"/>
      <c r="I367" s="131"/>
      <c r="M367" s="3"/>
      <c r="N367" s="3"/>
      <c r="O367" s="3"/>
    </row>
    <row r="368" spans="3:15" s="130" customFormat="1" ht="12.75">
      <c r="C368" s="90"/>
      <c r="D368" s="132"/>
      <c r="E368" s="4" t="str">
        <f>Translations!$B$217</f>
        <v>Калцинирана сода</v>
      </c>
      <c r="F368" s="4"/>
      <c r="G368" s="33"/>
      <c r="H368" s="131"/>
      <c r="I368" s="131"/>
      <c r="M368" s="3"/>
      <c r="N368" s="3"/>
      <c r="O368" s="3"/>
    </row>
    <row r="369" spans="3:15" s="130" customFormat="1" ht="12.75">
      <c r="C369" s="90"/>
      <c r="D369" s="132"/>
      <c r="E369" s="34" t="str">
        <f>Translations!$B$218</f>
        <v>Подинсталация с топлинен показател, с риск от изтичане на въглерод</v>
      </c>
      <c r="F369" s="4"/>
      <c r="G369" s="33"/>
      <c r="H369" s="131"/>
      <c r="I369" s="131"/>
      <c r="M369" s="3"/>
      <c r="N369" s="3"/>
      <c r="O369" s="3"/>
    </row>
    <row r="370" spans="3:15" s="130" customFormat="1" ht="12.75">
      <c r="C370" s="90"/>
      <c r="D370" s="132"/>
      <c r="E370" s="34" t="str">
        <f>Translations!$B$219</f>
        <v>Подинсталация с топлинен показател, без риск от изтичане на въглерод</v>
      </c>
      <c r="F370" s="4"/>
      <c r="G370" s="33"/>
      <c r="H370" s="131"/>
      <c r="I370" s="131"/>
      <c r="M370" s="3"/>
      <c r="N370" s="3"/>
      <c r="O370" s="3"/>
    </row>
    <row r="371" spans="3:15" s="130" customFormat="1" ht="12.75">
      <c r="C371" s="90"/>
      <c r="D371" s="132"/>
      <c r="E371" s="34" t="str">
        <f>Translations!$B$220</f>
        <v>Подинсталация с горивен показател, с риск от изтичане на въглерод</v>
      </c>
      <c r="F371" s="4"/>
      <c r="G371" s="33"/>
      <c r="H371" s="131"/>
      <c r="I371" s="131"/>
      <c r="M371" s="3"/>
      <c r="N371" s="3"/>
      <c r="O371" s="3"/>
    </row>
    <row r="372" spans="3:15" s="130" customFormat="1" ht="12.75">
      <c r="C372" s="90"/>
      <c r="D372" s="132"/>
      <c r="E372" s="34" t="str">
        <f>Translations!$B$221</f>
        <v>Подинсталация с горивен показател, без риск от изтичане на въглерод</v>
      </c>
      <c r="F372" s="4"/>
      <c r="G372" s="33"/>
      <c r="H372" s="131"/>
      <c r="I372" s="131"/>
      <c r="M372" s="3"/>
      <c r="N372" s="3"/>
      <c r="O372" s="3"/>
    </row>
    <row r="373" spans="3:15" s="130" customFormat="1" ht="12.75">
      <c r="C373" s="90"/>
      <c r="D373" s="132"/>
      <c r="E373" s="34" t="str">
        <f>Translations!$B$222</f>
        <v>Подинсталация с технологични емисии, с риск от изтичане на въглерод</v>
      </c>
      <c r="F373" s="4"/>
      <c r="G373" s="33"/>
      <c r="H373" s="131"/>
      <c r="I373" s="131"/>
      <c r="M373" s="3"/>
      <c r="N373" s="3"/>
      <c r="O373" s="3"/>
    </row>
    <row r="374" spans="3:15" s="130" customFormat="1" ht="12.75">
      <c r="C374" s="90"/>
      <c r="D374" s="132"/>
      <c r="E374" s="34" t="str">
        <f>Translations!$B$223</f>
        <v>Подинсталация с технологични емисии, без риск от изтичане на въглерод</v>
      </c>
      <c r="F374" s="4"/>
      <c r="G374" s="33"/>
      <c r="H374" s="131"/>
      <c r="I374" s="131"/>
      <c r="M374" s="3"/>
      <c r="N374" s="3"/>
      <c r="O374" s="3"/>
    </row>
    <row r="375" spans="3:15" s="130" customFormat="1" ht="12.75">
      <c r="C375" s="90"/>
      <c r="D375" s="132"/>
      <c r="E375" s="4"/>
      <c r="F375" s="4"/>
      <c r="G375" s="33"/>
      <c r="H375" s="131"/>
      <c r="I375" s="131"/>
      <c r="M375" s="3"/>
      <c r="N375" s="3"/>
      <c r="O375" s="3"/>
    </row>
    <row r="376" spans="1:17" ht="12.75">
      <c r="A376" s="127" t="s">
        <v>53</v>
      </c>
      <c r="B376" s="128" t="s">
        <v>53</v>
      </c>
      <c r="C376" s="128" t="s">
        <v>53</v>
      </c>
      <c r="D376" s="128" t="s">
        <v>53</v>
      </c>
      <c r="E376" s="128" t="s">
        <v>53</v>
      </c>
      <c r="F376" s="128" t="s">
        <v>53</v>
      </c>
      <c r="G376" s="128" t="s">
        <v>53</v>
      </c>
      <c r="H376" s="128" t="s">
        <v>53</v>
      </c>
      <c r="I376" s="128" t="s">
        <v>53</v>
      </c>
      <c r="J376" s="128" t="s">
        <v>53</v>
      </c>
      <c r="K376" s="128" t="s">
        <v>53</v>
      </c>
      <c r="L376" s="128" t="s">
        <v>53</v>
      </c>
      <c r="M376" s="128" t="s">
        <v>53</v>
      </c>
      <c r="N376" s="128" t="s">
        <v>53</v>
      </c>
      <c r="O376" s="128" t="s">
        <v>53</v>
      </c>
      <c r="P376" s="128" t="s">
        <v>53</v>
      </c>
      <c r="Q376" s="128" t="s">
        <v>53</v>
      </c>
    </row>
  </sheetData>
  <sheetProtection sheet="1" objects="1" scenarios="1" formatCells="0" formatColumns="0" formatRows="0"/>
  <printOptions/>
  <pageMargins left="0.787401575" right="0.787401575" top="0.984251969" bottom="0.984251969" header="0.4921259845" footer="0.4921259845"/>
  <pageSetup fitToHeight="4" fitToWidth="1" horizontalDpi="600" verticalDpi="600" orientation="portrait" paperSize="9" scale="22" r:id="rId3"/>
  <headerFooter alignWithMargins="0">
    <oddHeader>&amp;L&amp;F; &amp;A&amp;R&amp;D ;&amp;T</oddHead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tool for New Entrant applications under the EU ETS</dc:title>
  <dc:subject/>
  <dc:creator>Heller Christian</dc:creator>
  <cp:keywords/>
  <dc:description>Template developed by Umweltbundesamt GmbH (Austria) for DG CLIMA
Authors: Christian Heller / H. Fallmann</dc:description>
  <cp:lastModifiedBy>R.Lozanov</cp:lastModifiedBy>
  <cp:lastPrinted>2012-06-06T09:36:33Z</cp:lastPrinted>
  <dcterms:created xsi:type="dcterms:W3CDTF">2008-05-26T08:52:55Z</dcterms:created>
  <dcterms:modified xsi:type="dcterms:W3CDTF">2016-04-12T13:25:27Z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